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диаграммы" sheetId="3" r:id="rId1"/>
    <sheet name="2017" sheetId="1" r:id="rId2"/>
    <sheet name="2018" sheetId="4" r:id="rId3"/>
    <sheet name="2019" sheetId="5" r:id="rId4"/>
    <sheet name="Лист2" sheetId="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5" l="1"/>
  <c r="B50" i="5"/>
  <c r="B45" i="5"/>
  <c r="B44" i="5"/>
  <c r="B37" i="5"/>
  <c r="G31" i="5"/>
  <c r="G37" i="5" s="1"/>
  <c r="B31" i="5"/>
  <c r="B30" i="5"/>
  <c r="B53" i="5" s="1"/>
  <c r="G21" i="5"/>
  <c r="B21" i="5"/>
  <c r="B42" i="5" s="1"/>
  <c r="G16" i="5"/>
  <c r="G14" i="5"/>
  <c r="B14" i="5"/>
  <c r="G13" i="5"/>
  <c r="B13" i="5"/>
  <c r="G10" i="5"/>
  <c r="G9" i="5"/>
  <c r="G8" i="5"/>
  <c r="G7" i="5"/>
  <c r="G6" i="5"/>
  <c r="G5" i="5"/>
  <c r="B5" i="5"/>
  <c r="B4" i="5" s="1"/>
  <c r="G4" i="5"/>
  <c r="G22" i="5" s="1"/>
  <c r="I38" i="5" s="1"/>
  <c r="B43" i="5" l="1"/>
  <c r="B22" i="5"/>
  <c r="B41" i="5"/>
  <c r="C42" i="5"/>
  <c r="C45" i="5"/>
  <c r="K37" i="5"/>
  <c r="B51" i="5"/>
  <c r="B52" i="4"/>
  <c r="B51" i="4"/>
  <c r="B48" i="4"/>
  <c r="B41" i="4"/>
  <c r="B28" i="4"/>
  <c r="B50" i="4" s="1"/>
  <c r="G27" i="4"/>
  <c r="G22" i="4"/>
  <c r="G36" i="4" s="1"/>
  <c r="G5" i="4"/>
  <c r="B5" i="4"/>
  <c r="G4" i="4"/>
  <c r="G18" i="4" s="1"/>
  <c r="I37" i="4" s="1"/>
  <c r="B4" i="4"/>
  <c r="B42" i="4" s="1"/>
  <c r="D38" i="5" l="1"/>
  <c r="K22" i="5"/>
  <c r="C51" i="5"/>
  <c r="B49" i="5"/>
  <c r="C47" i="5"/>
  <c r="C44" i="5"/>
  <c r="C46" i="5"/>
  <c r="C43" i="5"/>
  <c r="C42" i="4"/>
  <c r="B18" i="4"/>
  <c r="B36" i="4"/>
  <c r="K36" i="4" s="1"/>
  <c r="B49" i="4"/>
  <c r="B40" i="4"/>
  <c r="B47" i="4"/>
  <c r="C51" i="4" s="1"/>
  <c r="C52" i="5" l="1"/>
  <c r="C50" i="5"/>
  <c r="C54" i="5"/>
  <c r="C53" i="5"/>
  <c r="C49" i="4"/>
  <c r="D37" i="4"/>
  <c r="K18" i="4"/>
  <c r="C48" i="4"/>
  <c r="C44" i="4"/>
  <c r="C45" i="4"/>
  <c r="C43" i="4"/>
  <c r="C52" i="4"/>
  <c r="C50" i="4"/>
  <c r="C41" i="4"/>
  <c r="B18" i="1" l="1"/>
  <c r="B52" i="1" s="1"/>
  <c r="B60" i="1"/>
  <c r="B57" i="1"/>
  <c r="B56" i="1"/>
  <c r="B38" i="1"/>
  <c r="B63" i="1" s="1"/>
  <c r="B40" i="1"/>
  <c r="B26" i="1"/>
  <c r="B62" i="1" s="1"/>
  <c r="B39" i="1"/>
  <c r="B43" i="1"/>
  <c r="B64" i="1" s="1"/>
  <c r="B13" i="1"/>
  <c r="B4" i="1" s="1"/>
  <c r="B22" i="1" l="1"/>
  <c r="B47" i="1"/>
  <c r="G40" i="1"/>
  <c r="G42" i="1"/>
  <c r="G41" i="1"/>
  <c r="B61" i="1" l="1"/>
  <c r="B59" i="1" s="1"/>
  <c r="C61" i="1" s="1"/>
  <c r="G47" i="1"/>
  <c r="K47" i="1" s="1"/>
  <c r="G12" i="1"/>
  <c r="G15" i="1"/>
  <c r="G14" i="1"/>
  <c r="G13" i="1"/>
  <c r="G11" i="1"/>
  <c r="G10" i="1"/>
  <c r="G9" i="1"/>
  <c r="G6" i="1"/>
  <c r="G8" i="1"/>
  <c r="G7" i="1"/>
  <c r="G5" i="1"/>
  <c r="G4" i="1" s="1"/>
  <c r="G22" i="1" s="1"/>
  <c r="K22" i="1" s="1"/>
  <c r="C62" i="1" l="1"/>
  <c r="C63" i="1"/>
  <c r="C60" i="1"/>
  <c r="C64" i="1"/>
  <c r="B53" i="1"/>
  <c r="B51" i="1" l="1"/>
  <c r="D48" i="1"/>
  <c r="C54" i="1" l="1"/>
  <c r="C52" i="1"/>
  <c r="C53" i="1"/>
  <c r="C55" i="1"/>
  <c r="C57" i="1"/>
  <c r="C56" i="1"/>
  <c r="I48" i="1"/>
</calcChain>
</file>

<file path=xl/comments1.xml><?xml version="1.0" encoding="utf-8"?>
<comments xmlns="http://schemas.openxmlformats.org/spreadsheetml/2006/main">
  <authors>
    <author>Автор</author>
  </authors>
  <commentList>
    <comment ref="B38" authorId="0" shape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75-за перевод инвалюты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0" authorId="0" shape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в т.ч. 7,06 в валюте 
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75-за перевод инвалюты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75-за перевод инвалюты
</t>
        </r>
      </text>
    </comment>
  </commentList>
</comments>
</file>

<file path=xl/sharedStrings.xml><?xml version="1.0" encoding="utf-8"?>
<sst xmlns="http://schemas.openxmlformats.org/spreadsheetml/2006/main" count="359" uniqueCount="171">
  <si>
    <t>Доходы</t>
  </si>
  <si>
    <t xml:space="preserve">наименование </t>
  </si>
  <si>
    <t>сумма</t>
  </si>
  <si>
    <t>Расходы</t>
  </si>
  <si>
    <t>наименование</t>
  </si>
  <si>
    <t>член взнос</t>
  </si>
  <si>
    <t>БУГ</t>
  </si>
  <si>
    <t>БНТУ</t>
  </si>
  <si>
    <t>итого</t>
  </si>
  <si>
    <t>комиссия</t>
  </si>
  <si>
    <t>медали, кубки</t>
  </si>
  <si>
    <t>покупка валюты EUR</t>
  </si>
  <si>
    <t xml:space="preserve">старт взнос </t>
  </si>
  <si>
    <t>неопределен</t>
  </si>
  <si>
    <t>рогейн</t>
  </si>
  <si>
    <t>BY81UNBS30151204130030001933</t>
  </si>
  <si>
    <t>примечание</t>
  </si>
  <si>
    <t>BY21UNBS30151204131040001933</t>
  </si>
  <si>
    <t>дата</t>
  </si>
  <si>
    <t>эквивалент в валюте</t>
  </si>
  <si>
    <t>перевод с р/сч
BY81UNBS30151204130030001933</t>
  </si>
  <si>
    <t>безвозд. Спонсорская помощь</t>
  </si>
  <si>
    <t>вх.остаток</t>
  </si>
  <si>
    <t>исх. остаток</t>
  </si>
  <si>
    <t>Кубок РБ ДЮК</t>
  </si>
  <si>
    <t>Белая Русь 2017</t>
  </si>
  <si>
    <t>Чемпионат удлин.</t>
  </si>
  <si>
    <t>Машерова</t>
  </si>
  <si>
    <t>Первенство РБ по зимнему ориент.</t>
  </si>
  <si>
    <t>Брест. подснежник 2017</t>
  </si>
  <si>
    <t>Гран При 2017</t>
  </si>
  <si>
    <t>Чемпиона по ТПМ в технике лыжного туризма</t>
  </si>
  <si>
    <t>Кубок Шклова</t>
  </si>
  <si>
    <t>возврат стар.взноса</t>
  </si>
  <si>
    <t>МГТЭЦ</t>
  </si>
  <si>
    <t>Минск.район.больница</t>
  </si>
  <si>
    <t>за медицин. обеспечение</t>
  </si>
  <si>
    <t>ИП Новикова А.В.</t>
  </si>
  <si>
    <t>ЗАО Аккомдрев</t>
  </si>
  <si>
    <t>за бланки</t>
  </si>
  <si>
    <t>ИП Петров А.С.</t>
  </si>
  <si>
    <t>за услуги элект. хронометража</t>
  </si>
  <si>
    <t>ИП Лабчевский</t>
  </si>
  <si>
    <t>за спорткарты</t>
  </si>
  <si>
    <t>за аккумуляторы</t>
  </si>
  <si>
    <t>Три ДжтТек</t>
  </si>
  <si>
    <t>за канцтовары</t>
  </si>
  <si>
    <t>ОАО Альфа Ресэйл</t>
  </si>
  <si>
    <t>медали, кубки,растяжки</t>
  </si>
  <si>
    <t>Кронан</t>
  </si>
  <si>
    <t>проценты по счету</t>
  </si>
  <si>
    <t>возврат комиссии</t>
  </si>
  <si>
    <t>оплата за а/я, марки, конверты</t>
  </si>
  <si>
    <t>подарочный сетификат</t>
  </si>
  <si>
    <t>принтер</t>
  </si>
  <si>
    <t>Белкопирснаб</t>
  </si>
  <si>
    <t>нашивка логотип БФО</t>
  </si>
  <si>
    <t>Дизайн-центр</t>
  </si>
  <si>
    <t>Стеклозавод Неман</t>
  </si>
  <si>
    <t>Триовист (21 век)</t>
  </si>
  <si>
    <t>за компаса и чехол для коврика</t>
  </si>
  <si>
    <t>за полотенце</t>
  </si>
  <si>
    <t>Йуск</t>
  </si>
  <si>
    <t>целевое финансирование</t>
  </si>
  <si>
    <t>Гродн. обл.федерация БФО</t>
  </si>
  <si>
    <t>декорат. призы с лазерной гравировкой</t>
  </si>
  <si>
    <t>Минская гор. федерация БФО</t>
  </si>
  <si>
    <t>безвозд. спонсорская помощь</t>
  </si>
  <si>
    <t>дипломы</t>
  </si>
  <si>
    <t>дипломы, спортсхемы</t>
  </si>
  <si>
    <t>гос.пошлина</t>
  </si>
  <si>
    <t>оплата л/а манежа</t>
  </si>
  <si>
    <t>ИП Пунько (267-Гран При)</t>
  </si>
  <si>
    <t>Минфин (изменения в устав)</t>
  </si>
  <si>
    <t>Респ.центр подготовки по легкой атлетике (за 14.01.17 УТС сборной)</t>
  </si>
  <si>
    <t>Бел. ассоциация студенч. спорта (за респуб.универсиаду)</t>
  </si>
  <si>
    <t>Белинтерспас (награждение по итогам 2016 г.)</t>
  </si>
  <si>
    <t>ВСЕГО</t>
  </si>
  <si>
    <t>членский взнос</t>
  </si>
  <si>
    <t>стартовый взнос</t>
  </si>
  <si>
    <t>прочие поступления</t>
  </si>
  <si>
    <t>спонсорская помощь</t>
  </si>
  <si>
    <t>взносы в IOF (членский взнос, WRE)</t>
  </si>
  <si>
    <t>награждения по итогам, рейтинг</t>
  </si>
  <si>
    <t>прочие</t>
  </si>
  <si>
    <t>расходы на организацию соревнований, УТС</t>
  </si>
  <si>
    <t>комиссия банка</t>
  </si>
  <si>
    <t>сумма, руб.</t>
  </si>
  <si>
    <t>процент</t>
  </si>
  <si>
    <t>оплата за WRE</t>
  </si>
  <si>
    <t>Грод. обл федерация БФО</t>
  </si>
  <si>
    <t>Березино</t>
  </si>
  <si>
    <t>Белая Русь 2018</t>
  </si>
  <si>
    <t>Гран-При</t>
  </si>
  <si>
    <t>Лыжи</t>
  </si>
  <si>
    <t>ММ 2018</t>
  </si>
  <si>
    <t>Брест. подснежник 2018</t>
  </si>
  <si>
    <t>Весна 2018</t>
  </si>
  <si>
    <t>Новогодняя игра</t>
  </si>
  <si>
    <t>оплата за манеж</t>
  </si>
  <si>
    <t>Корженевского, 21.12.18 (УТС взр.сборной)</t>
  </si>
  <si>
    <t xml:space="preserve">за услуги электронного хронометража </t>
  </si>
  <si>
    <t>услуги по автомобильной перевозке Минск-Краслава-Даугаупилс-Минск</t>
  </si>
  <si>
    <t>Балтийские игры</t>
  </si>
  <si>
    <t>за оформление старта-финиша</t>
  </si>
  <si>
    <t>оплата за пакеты п\э</t>
  </si>
  <si>
    <t>за мед. помощь</t>
  </si>
  <si>
    <t>ММ</t>
  </si>
  <si>
    <t xml:space="preserve"> за услуги по приему-передаче сообщений</t>
  </si>
  <si>
    <t>ИП Шагойко</t>
  </si>
  <si>
    <t>спортсхемы, дипломы</t>
  </si>
  <si>
    <t>ИП Новикова</t>
  </si>
  <si>
    <t>декорат. призы, гравировка</t>
  </si>
  <si>
    <t>Стеклозавод Неман - 1930,18</t>
  </si>
  <si>
    <t>корректировка спорткарты</t>
  </si>
  <si>
    <t>ИП Пунько Гран-При</t>
  </si>
  <si>
    <t>подарочные сертификаты</t>
  </si>
  <si>
    <t>аренда автобуса</t>
  </si>
  <si>
    <t>Минский автопарк №2, Гран-При</t>
  </si>
  <si>
    <t xml:space="preserve">оплата за а/я </t>
  </si>
  <si>
    <t xml:space="preserve">дрова </t>
  </si>
  <si>
    <t>марки, конверты</t>
  </si>
  <si>
    <t>проживание юнош. сборной г.Гродно</t>
  </si>
  <si>
    <t>УТС юнош.сборной</t>
  </si>
  <si>
    <t>проведение соревнований</t>
  </si>
  <si>
    <t>Минская гор. федерация ориент.</t>
  </si>
  <si>
    <t>респ центр спорт восп учащ и студ (республ.Универсиада)</t>
  </si>
  <si>
    <t>взносы в IOF (членский взнос)</t>
  </si>
  <si>
    <t>расходы на организацию соревнований, УТС, Балтийские игры</t>
  </si>
  <si>
    <t>01.01-31.10.19</t>
  </si>
  <si>
    <t>Сильван Люкс</t>
  </si>
  <si>
    <t>Белая Русь 2019</t>
  </si>
  <si>
    <t>ЗС</t>
  </si>
  <si>
    <t>Чемпионат сред, длинная</t>
  </si>
  <si>
    <t>Кубок Волобо 2019</t>
  </si>
  <si>
    <t>ЧЕ оплата за сборную РБ</t>
  </si>
  <si>
    <t>Респ. центр экологии и краеведения</t>
  </si>
  <si>
    <t>ММ 2019</t>
  </si>
  <si>
    <t>Брест. подснежник 2019</t>
  </si>
  <si>
    <t>Кубок Гродно 2019</t>
  </si>
  <si>
    <t>Весна 2019</t>
  </si>
  <si>
    <t>за организацию чемпионата по сп/ор</t>
  </si>
  <si>
    <t>Бел.ЖД</t>
  </si>
  <si>
    <t>компесация за проведение ЧЕ</t>
  </si>
  <si>
    <t>Гроднен. област. федерация БФО</t>
  </si>
  <si>
    <t>оплата за тф</t>
  </si>
  <si>
    <t>ИП Лабчевский А.И.</t>
  </si>
  <si>
    <t>услуги по автомобильной перевозке пассажиров по договору фрахтования</t>
  </si>
  <si>
    <t>ИП Липень С.С. Балтийские игры автобус</t>
  </si>
  <si>
    <t xml:space="preserve">за услуги по организации спортивных соревнований </t>
  </si>
  <si>
    <t>Доплата за пакеты п\э</t>
  </si>
  <si>
    <t>Индустрия пластика</t>
  </si>
  <si>
    <t>Логойск. больница</t>
  </si>
  <si>
    <t>ИП Шагойко Д.В. SMS-идентификация</t>
  </si>
  <si>
    <t>за хостинг сайта и регистрацию сайта</t>
  </si>
  <si>
    <t>Надежные программы</t>
  </si>
  <si>
    <t>Аккомдрев</t>
  </si>
  <si>
    <t>медали, кубки, дипломы, растяжки</t>
  </si>
  <si>
    <t>перевод на р/сч
BY21 UNBS 3015 1204 1310 4000 1933</t>
  </si>
  <si>
    <t>оплата за флаг</t>
  </si>
  <si>
    <t>ФлагБай</t>
  </si>
  <si>
    <t>JWOC2019 OK PAN</t>
  </si>
  <si>
    <t>возвра ошибочно перечисл. суммы</t>
  </si>
  <si>
    <t>компенсация за ЧЕ от Грод обл федерации БФО</t>
  </si>
  <si>
    <t>Экология города на JWOC</t>
  </si>
  <si>
    <t>Связной БЕЛ Алексеенок в счет сертификатов за 2018 г. (2 шт.)</t>
  </si>
  <si>
    <t>ИП Войцехович Н.А.призмы на чемпионат БелЖД</t>
  </si>
  <si>
    <t>INTERNATIONAL ORIENTEERINGFEDERATION, DROTTNINGGATAN 47 3 1/2T, 652 25 KARLSTAD,SWEDEN (член.взнос, WRE, EYOC)</t>
  </si>
  <si>
    <t xml:space="preserve">WOC2019 AS,SARPSBORG, OSTFOLD,NORWAY </t>
  </si>
  <si>
    <t>спонсорская помощь на JWOC</t>
  </si>
  <si>
    <t>взносы в IOF (членский взнос, WRE, EYOC, , JWOC, WOC)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</si>
</sst>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rgb="FF000000"/>
      <name val="Calibri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4" fontId="1" fillId="0" borderId="0" xfId="0" applyNumberFormat="1" applyFont="1"/>
    <xf numFmtId="4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/>
    <xf numFmtId="0" fontId="1" fillId="0" borderId="1" xfId="0" applyFont="1" applyBorder="1" applyAlignment="1">
      <alignment horizontal="right"/>
    </xf>
    <xf numFmtId="10" fontId="0" fillId="0" borderId="1" xfId="0" applyNumberFormat="1" applyBorder="1"/>
    <xf numFmtId="9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Доходы </a:t>
            </a:r>
            <a:r>
              <a:rPr lang="en-US"/>
              <a:t>201</a:t>
            </a:r>
            <a:r>
              <a:rPr lang="ru-RU"/>
              <a:t>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'2017'!$A$52:$A$57</c:f>
              <c:strCache>
                <c:ptCount val="6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оплата за WRE</c:v>
                </c:pt>
                <c:pt idx="3">
                  <c:v>спонсорская помощь</c:v>
                </c:pt>
                <c:pt idx="4">
                  <c:v>проценты по счету</c:v>
                </c:pt>
                <c:pt idx="5">
                  <c:v>прочие поступления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87-461D-BE8A-F393E46764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87-461D-BE8A-F393E46764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87-461D-BE8A-F393E46764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87-461D-BE8A-F393E46764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87-461D-BE8A-F393E46764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87-461D-BE8A-F393E46764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'2017'!$A$52:$A$57</c:f>
              <c:strCache>
                <c:ptCount val="6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оплата за WRE</c:v>
                </c:pt>
                <c:pt idx="3">
                  <c:v>спонсорская помощь</c:v>
                </c:pt>
                <c:pt idx="4">
                  <c:v>проценты по счету</c:v>
                </c:pt>
                <c:pt idx="5">
                  <c:v>прочие поступления</c:v>
                </c:pt>
              </c:strCache>
            </c:strRef>
          </c:cat>
          <c:val>
            <c:numRef>
              <c:f>'2017'!$C$52:$C$57</c:f>
              <c:numCache>
                <c:formatCode>0.00%</c:formatCode>
                <c:ptCount val="6"/>
                <c:pt idx="0">
                  <c:v>0.65916912031712516</c:v>
                </c:pt>
                <c:pt idx="1">
                  <c:v>0.27346932121853962</c:v>
                </c:pt>
                <c:pt idx="2">
                  <c:v>6.1327208482154401E-2</c:v>
                </c:pt>
                <c:pt idx="3">
                  <c:v>0</c:v>
                </c:pt>
                <c:pt idx="4">
                  <c:v>4.4064526791164835E-3</c:v>
                </c:pt>
                <c:pt idx="5">
                  <c:v>1.627897303064337E-3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87-461D-BE8A-F393E467644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87-461D-BE8A-F393E46764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87-461D-BE8A-F393E46764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87-461D-BE8A-F393E46764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87-461D-BE8A-F393E46764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187-461D-BE8A-F393E46764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187-461D-BE8A-F393E4676447}"/>
              </c:ext>
            </c:extLst>
          </c:dPt>
          <c:cat>
            <c:strRef>
              <c:f>'2017'!$A$52:$A$57</c:f>
              <c:strCache>
                <c:ptCount val="6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оплата за WRE</c:v>
                </c:pt>
                <c:pt idx="3">
                  <c:v>спонсорская помощь</c:v>
                </c:pt>
                <c:pt idx="4">
                  <c:v>проценты по счету</c:v>
                </c:pt>
                <c:pt idx="5">
                  <c:v>прочие поступления</c:v>
                </c:pt>
              </c:strCache>
            </c:strRef>
          </c:cat>
          <c:val>
            <c:numRef>
              <c:f>'2017'!$C$52:$C$57</c:f>
              <c:numCache>
                <c:formatCode>0.00%</c:formatCode>
                <c:ptCount val="6"/>
                <c:pt idx="0">
                  <c:v>0.65916912031712516</c:v>
                </c:pt>
                <c:pt idx="1">
                  <c:v>0.27346932121853962</c:v>
                </c:pt>
                <c:pt idx="2">
                  <c:v>6.1327208482154401E-2</c:v>
                </c:pt>
                <c:pt idx="3">
                  <c:v>0</c:v>
                </c:pt>
                <c:pt idx="4">
                  <c:v>4.4064526791164835E-3</c:v>
                </c:pt>
                <c:pt idx="5">
                  <c:v>1.627897303064337E-3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187-461D-BE8A-F393E467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'2017'!$A$60:$A$64</c:f>
              <c:strCache>
                <c:ptCount val="5"/>
                <c:pt idx="0">
                  <c:v>взносы в IOF (членский взнос, WRE)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9E-49DF-8C5A-09B62BFF3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9E-49DF-8C5A-09B62BFF3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9E-49DF-8C5A-09B62BFF3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9E-49DF-8C5A-09B62BFF3D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9E-49DF-8C5A-09B62BFF3D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'2017'!$A$60:$A$64</c:f>
              <c:strCache>
                <c:ptCount val="5"/>
                <c:pt idx="0">
                  <c:v>взносы в IOF (членский взнос, WRE)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'2017'!$C$60:$C$64</c:f>
              <c:numCache>
                <c:formatCode>0.00%</c:formatCode>
                <c:ptCount val="5"/>
                <c:pt idx="0">
                  <c:v>0.34184795943126789</c:v>
                </c:pt>
                <c:pt idx="1">
                  <c:v>0.39867712423970908</c:v>
                </c:pt>
                <c:pt idx="2">
                  <c:v>0.17197317106563412</c:v>
                </c:pt>
                <c:pt idx="3">
                  <c:v>1.588562458740618E-2</c:v>
                </c:pt>
                <c:pt idx="4">
                  <c:v>7.1616120675982872E-2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9E-49DF-8C5A-09B62BFF3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9E-49DF-8C5A-09B62BFF3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39E-49DF-8C5A-09B62BFF3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39E-49DF-8C5A-09B62BFF3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39E-49DF-8C5A-09B62BFF3D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39E-49DF-8C5A-09B62BFF3DA1}"/>
              </c:ext>
            </c:extLst>
          </c:dPt>
          <c:cat>
            <c:strRef>
              <c:f>'2017'!$A$60:$A$64</c:f>
              <c:strCache>
                <c:ptCount val="5"/>
                <c:pt idx="0">
                  <c:v>взносы в IOF (членский взнос, WRE)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'2017'!$C$60:$C$64</c:f>
              <c:numCache>
                <c:formatCode>0.00%</c:formatCode>
                <c:ptCount val="5"/>
                <c:pt idx="0">
                  <c:v>0.34184795943126789</c:v>
                </c:pt>
                <c:pt idx="1">
                  <c:v>0.39867712423970908</c:v>
                </c:pt>
                <c:pt idx="2">
                  <c:v>0.17197317106563412</c:v>
                </c:pt>
                <c:pt idx="3">
                  <c:v>1.588562458740618E-2</c:v>
                </c:pt>
                <c:pt idx="4">
                  <c:v>7.1616120675982872E-2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9E-49DF-8C5A-09B62BFF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'2018'!$A$48:$A$52</c:f>
              <c:strCache>
                <c:ptCount val="5"/>
                <c:pt idx="0">
                  <c:v>взносы в IOF (членский взнос)</c:v>
                </c:pt>
                <c:pt idx="1">
                  <c:v>расходы на организацию соревнований, УТС, Балтийские игры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E-4AF3-A8EF-4349D3EBDF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E-4AF3-A8EF-4349D3EBDF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E-4AF3-A8EF-4349D3EBDF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E-4AF3-A8EF-4349D3EBDF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AE-4AF3-A8EF-4349D3EBDF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'2018'!$A$48:$A$52</c:f>
              <c:strCache>
                <c:ptCount val="5"/>
                <c:pt idx="0">
                  <c:v>взносы в IOF (членский взнос)</c:v>
                </c:pt>
                <c:pt idx="1">
                  <c:v>расходы на организацию соревнований, УТС, Балтийские игры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'2018'!$C$48:$C$52</c:f>
              <c:numCache>
                <c:formatCode>0.00%</c:formatCode>
                <c:ptCount val="5"/>
                <c:pt idx="0">
                  <c:v>0.12695075302732278</c:v>
                </c:pt>
                <c:pt idx="1">
                  <c:v>0.72937576428634121</c:v>
                </c:pt>
                <c:pt idx="2">
                  <c:v>0.13138656979093702</c:v>
                </c:pt>
                <c:pt idx="3">
                  <c:v>8.0071721392240055E-3</c:v>
                </c:pt>
                <c:pt idx="4">
                  <c:v>4.2797407561751197E-3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AE-4AF3-A8EF-4349D3EBDF3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3AE-4AF3-A8EF-4349D3EBDF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3AE-4AF3-A8EF-4349D3EBDF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E-4AF3-A8EF-4349D3EBDF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3AE-4AF3-A8EF-4349D3EBDF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3AE-4AF3-A8EF-4349D3EBDF36}"/>
              </c:ext>
            </c:extLst>
          </c:dPt>
          <c:cat>
            <c:strRef>
              <c:f>'2018'!$A$48:$A$52</c:f>
              <c:strCache>
                <c:ptCount val="5"/>
                <c:pt idx="0">
                  <c:v>взносы в IOF (членский взнос)</c:v>
                </c:pt>
                <c:pt idx="1">
                  <c:v>расходы на организацию соревнований, УТС, Балтийские игры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'2018'!$C$48:$C$52</c:f>
              <c:numCache>
                <c:formatCode>0.00%</c:formatCode>
                <c:ptCount val="5"/>
                <c:pt idx="0">
                  <c:v>0.12695075302732278</c:v>
                </c:pt>
                <c:pt idx="1">
                  <c:v>0.72937576428634121</c:v>
                </c:pt>
                <c:pt idx="2">
                  <c:v>0.13138656979093702</c:v>
                </c:pt>
                <c:pt idx="3">
                  <c:v>8.0071721392240055E-3</c:v>
                </c:pt>
                <c:pt idx="4">
                  <c:v>4.2797407561751197E-3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3AE-4AF3-A8EF-4349D3EB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Доходы</a:t>
            </a:r>
            <a:r>
              <a:rPr lang="ru-RU" baseline="0"/>
              <a:t> 2018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'2018'!$A$41:$A$42</c:f>
              <c:strCache>
                <c:ptCount val="2"/>
                <c:pt idx="0">
                  <c:v>членский взнос</c:v>
                </c:pt>
                <c:pt idx="1">
                  <c:v>стартовый взнос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0F-4EE8-BD3B-79DBE75D53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0F-4EE8-BD3B-79DBE75D53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'2018'!$A$41:$A$42</c:f>
              <c:strCache>
                <c:ptCount val="2"/>
                <c:pt idx="0">
                  <c:v>членский взнос</c:v>
                </c:pt>
                <c:pt idx="1">
                  <c:v>стартовый взнос</c:v>
                </c:pt>
              </c:strCache>
            </c:strRef>
          </c:cat>
          <c:val>
            <c:numRef>
              <c:f>'2018'!$C$41:$C$42</c:f>
              <c:numCache>
                <c:formatCode>0.00%</c:formatCode>
                <c:ptCount val="2"/>
                <c:pt idx="0">
                  <c:v>0.63780910428514492</c:v>
                </c:pt>
                <c:pt idx="1">
                  <c:v>0.36219089571485497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F-4EE8-BD3B-79DBE75D538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10F-4EE8-BD3B-79DBE75D53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10F-4EE8-BD3B-79DBE75D5385}"/>
              </c:ext>
            </c:extLst>
          </c:dPt>
          <c:cat>
            <c:strRef>
              <c:f>'2018'!$A$41:$A$42</c:f>
              <c:strCache>
                <c:ptCount val="2"/>
                <c:pt idx="0">
                  <c:v>членский взнос</c:v>
                </c:pt>
                <c:pt idx="1">
                  <c:v>стартовый взнос</c:v>
                </c:pt>
              </c:strCache>
            </c:strRef>
          </c:cat>
          <c:val>
            <c:numRef>
              <c:f>'2018'!$C$41:$C$42</c:f>
              <c:numCache>
                <c:formatCode>0.00%</c:formatCode>
                <c:ptCount val="2"/>
                <c:pt idx="0">
                  <c:v>0.63780910428514492</c:v>
                </c:pt>
                <c:pt idx="1">
                  <c:v>0.36219089571485497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0F-4EE8-BD3B-79DBE75D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'2019'!$A$50:$A$54</c:f>
              <c:strCache>
                <c:ptCount val="5"/>
                <c:pt idx="0">
                  <c:v>взносы в IOF (членский взнос, WRE, EYOC, , JWOC, WOC)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1C-4A2E-9956-E314C8848C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1C-4A2E-9956-E314C8848C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1C-4A2E-9956-E314C8848C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1C-4A2E-9956-E314C8848C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1C-4A2E-9956-E314C8848C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'2019'!$A$50:$A$54</c:f>
              <c:strCache>
                <c:ptCount val="5"/>
                <c:pt idx="0">
                  <c:v>взносы в IOF (членский взнос, WRE, EYOC, , JWOC, WOC)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'2019'!$C$50:$C$54</c:f>
              <c:numCache>
                <c:formatCode>0.00%</c:formatCode>
                <c:ptCount val="5"/>
                <c:pt idx="0">
                  <c:v>0.63182854584431536</c:v>
                </c:pt>
                <c:pt idx="1">
                  <c:v>0.33902431147908951</c:v>
                </c:pt>
                <c:pt idx="2">
                  <c:v>0</c:v>
                </c:pt>
                <c:pt idx="3">
                  <c:v>1.1322684959447642E-2</c:v>
                </c:pt>
                <c:pt idx="4">
                  <c:v>1.7824457717147368E-2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1C-4A2E-9956-E314C8848C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31C-4A2E-9956-E314C8848C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31C-4A2E-9956-E314C8848C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31C-4A2E-9956-E314C8848C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31C-4A2E-9956-E314C8848C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31C-4A2E-9956-E314C8848C66}"/>
              </c:ext>
            </c:extLst>
          </c:dPt>
          <c:cat>
            <c:strRef>
              <c:f>'2019'!$A$50:$A$54</c:f>
              <c:strCache>
                <c:ptCount val="5"/>
                <c:pt idx="0">
                  <c:v>взносы в IOF (членский взнос, WRE, EYOC, , JWOC, WOC)</c:v>
                </c:pt>
                <c:pt idx="1">
                  <c:v>расходы на организацию соревнований, УТС</c:v>
                </c:pt>
                <c:pt idx="2">
                  <c:v>награждения по итогам, рейтинг</c:v>
                </c:pt>
                <c:pt idx="3">
                  <c:v>комиссия банка</c:v>
                </c:pt>
                <c:pt idx="4">
                  <c:v>прочие</c:v>
                </c:pt>
              </c:strCache>
            </c:strRef>
          </c:cat>
          <c:val>
            <c:numRef>
              <c:f>'2019'!$C$50:$C$54</c:f>
              <c:numCache>
                <c:formatCode>0.00%</c:formatCode>
                <c:ptCount val="5"/>
                <c:pt idx="0">
                  <c:v>0.63182854584431536</c:v>
                </c:pt>
                <c:pt idx="1">
                  <c:v>0.33902431147908951</c:v>
                </c:pt>
                <c:pt idx="2">
                  <c:v>0</c:v>
                </c:pt>
                <c:pt idx="3">
                  <c:v>1.1322684959447642E-2</c:v>
                </c:pt>
                <c:pt idx="4">
                  <c:v>1.7824457717147368E-2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1C-4A2E-9956-E314C8848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Доходы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'2019'!$A$42:$A$45</c:f>
              <c:strCache>
                <c:ptCount val="4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компенсация за ЧЕ от Грод обл федерации БФО</c:v>
                </c:pt>
                <c:pt idx="3">
                  <c:v>спонсорская помощь на JWOC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21-476B-9CFF-F7838A0F29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21-476B-9CFF-F7838A0F29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21-476B-9CFF-F7838A0F29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21-476B-9CFF-F7838A0F29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'2019'!$A$42:$A$45</c:f>
              <c:strCache>
                <c:ptCount val="4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компенсация за ЧЕ от Грод обл федерации БФО</c:v>
                </c:pt>
                <c:pt idx="3">
                  <c:v>спонсорская помощь на JWOC</c:v>
                </c:pt>
              </c:strCache>
            </c:strRef>
          </c:cat>
          <c:val>
            <c:numRef>
              <c:f>'2019'!$C$42:$C$45</c:f>
              <c:numCache>
                <c:formatCode>0.00%</c:formatCode>
                <c:ptCount val="4"/>
                <c:pt idx="0">
                  <c:v>0.37481808174942305</c:v>
                </c:pt>
                <c:pt idx="1">
                  <c:v>0.30118539934284755</c:v>
                </c:pt>
                <c:pt idx="2">
                  <c:v>7.6420185077461025E-2</c:v>
                </c:pt>
                <c:pt idx="3">
                  <c:v>0.24757633383026831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21-476B-9CFF-F7838A0F29F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121-476B-9CFF-F7838A0F29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121-476B-9CFF-F7838A0F29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121-476B-9CFF-F7838A0F29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121-476B-9CFF-F7838A0F29F5}"/>
              </c:ext>
            </c:extLst>
          </c:dPt>
          <c:cat>
            <c:strRef>
              <c:f>'2019'!$A$42:$A$45</c:f>
              <c:strCache>
                <c:ptCount val="4"/>
                <c:pt idx="0">
                  <c:v>членский взнос</c:v>
                </c:pt>
                <c:pt idx="1">
                  <c:v>стартовый взнос</c:v>
                </c:pt>
                <c:pt idx="2">
                  <c:v>компенсация за ЧЕ от Грод обл федерации БФО</c:v>
                </c:pt>
                <c:pt idx="3">
                  <c:v>спонсорская помощь на JWOC</c:v>
                </c:pt>
              </c:strCache>
            </c:strRef>
          </c:cat>
          <c:val>
            <c:numRef>
              <c:f>'2019'!$C$42:$C$45</c:f>
              <c:numCache>
                <c:formatCode>0.00%</c:formatCode>
                <c:ptCount val="4"/>
                <c:pt idx="0">
                  <c:v>0.37481808174942305</c:v>
                </c:pt>
                <c:pt idx="1">
                  <c:v>0.30118539934284755</c:v>
                </c:pt>
                <c:pt idx="2">
                  <c:v>7.6420185077461025E-2</c:v>
                </c:pt>
                <c:pt idx="3">
                  <c:v>0.24757633383026831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121-476B-9CFF-F7838A0F2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16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02506CC-A876-4559-A1E5-E42215FA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19</xdr:col>
      <xdr:colOff>488796</xdr:colOff>
      <xdr:row>16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DFD62C4-1421-4B81-A8B8-69C9DFC5E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19</xdr:row>
      <xdr:rowOff>0</xdr:rowOff>
    </xdr:from>
    <xdr:to>
      <xdr:col>18</xdr:col>
      <xdr:colOff>304800</xdr:colOff>
      <xdr:row>34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E7527E86-7FC8-4667-AF64-38002D301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8</xdr:col>
      <xdr:colOff>304800</xdr:colOff>
      <xdr:row>33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CB668011-29E3-4584-832E-924CADF73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38</xdr:row>
      <xdr:rowOff>0</xdr:rowOff>
    </xdr:from>
    <xdr:to>
      <xdr:col>20</xdr:col>
      <xdr:colOff>200722</xdr:colOff>
      <xdr:row>53</xdr:row>
      <xdr:rowOff>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8899AD7E-EC7C-4E4B-B228-4EEE8ACFA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304800</xdr:colOff>
      <xdr:row>53</xdr:row>
      <xdr:rowOff>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9F28D0AE-B63D-4E30-83B8-ACB13FDF9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6" workbookViewId="0">
      <selection activeCell="B39" sqref="B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4"/>
  <sheetViews>
    <sheetView topLeftCell="A37" zoomScale="82" zoomScaleNormal="82" workbookViewId="0">
      <selection activeCell="C72" sqref="C72"/>
    </sheetView>
  </sheetViews>
  <sheetFormatPr defaultRowHeight="15" x14ac:dyDescent="0.25"/>
  <cols>
    <col min="1" max="1" width="33.85546875" customWidth="1"/>
    <col min="2" max="2" width="16" customWidth="1"/>
    <col min="3" max="3" width="13.7109375" customWidth="1"/>
    <col min="4" max="4" width="11.5703125" customWidth="1"/>
    <col min="5" max="5" width="50.5703125" customWidth="1"/>
    <col min="6" max="6" width="25.140625" customWidth="1"/>
    <col min="7" max="7" width="15.28515625" customWidth="1"/>
    <col min="8" max="8" width="12.85546875" customWidth="1"/>
    <col min="9" max="9" width="12.28515625" customWidth="1"/>
    <col min="10" max="10" width="24.7109375" customWidth="1"/>
    <col min="11" max="11" width="11.28515625" customWidth="1"/>
  </cols>
  <sheetData>
    <row r="1" spans="1:10" x14ac:dyDescent="0.25">
      <c r="A1" s="8" t="s">
        <v>15</v>
      </c>
      <c r="C1" s="8" t="s">
        <v>22</v>
      </c>
      <c r="D1" s="12">
        <v>3012.5</v>
      </c>
      <c r="F1" s="9" t="s">
        <v>17</v>
      </c>
      <c r="H1" s="8" t="s">
        <v>22</v>
      </c>
      <c r="I1" s="8">
        <v>0</v>
      </c>
    </row>
    <row r="2" spans="1:10" x14ac:dyDescent="0.25">
      <c r="A2" s="22" t="s">
        <v>0</v>
      </c>
      <c r="B2" s="23"/>
      <c r="C2" s="2"/>
      <c r="D2" s="2"/>
      <c r="E2" s="2"/>
      <c r="F2" s="22" t="s">
        <v>0</v>
      </c>
      <c r="G2" s="23"/>
      <c r="H2" s="2"/>
      <c r="I2" s="2"/>
      <c r="J2" s="2"/>
    </row>
    <row r="3" spans="1:10" x14ac:dyDescent="0.25">
      <c r="A3" s="5" t="s">
        <v>1</v>
      </c>
      <c r="B3" s="5" t="s">
        <v>2</v>
      </c>
      <c r="C3" s="2"/>
      <c r="D3" s="2"/>
      <c r="E3" s="5" t="s">
        <v>16</v>
      </c>
      <c r="F3" s="5" t="s">
        <v>1</v>
      </c>
      <c r="G3" s="5" t="s">
        <v>2</v>
      </c>
      <c r="H3" s="2"/>
      <c r="I3" s="2"/>
      <c r="J3" s="5" t="s">
        <v>16</v>
      </c>
    </row>
    <row r="4" spans="1:10" x14ac:dyDescent="0.25">
      <c r="A4" s="2" t="s">
        <v>12</v>
      </c>
      <c r="B4" s="6">
        <f>B5+B6+B7+B8+B9++B10+B11+B12+B13+B14+B15</f>
        <v>160</v>
      </c>
      <c r="C4" s="2"/>
      <c r="D4" s="2"/>
      <c r="E4" s="2"/>
      <c r="F4" s="2" t="s">
        <v>12</v>
      </c>
      <c r="G4" s="6">
        <f>G5+G6+G7+G8+G9++G10+G11+G12+G13+G14+G15</f>
        <v>4854.97</v>
      </c>
      <c r="H4" s="2"/>
      <c r="I4" s="2"/>
      <c r="J4" s="2"/>
    </row>
    <row r="5" spans="1:10" x14ac:dyDescent="0.25">
      <c r="A5" s="2" t="s">
        <v>13</v>
      </c>
      <c r="B5" s="6"/>
      <c r="C5" s="2"/>
      <c r="D5" s="2"/>
      <c r="E5" s="2"/>
      <c r="F5" s="2" t="s">
        <v>13</v>
      </c>
      <c r="G5" s="6">
        <f>55.43+16+150+50+12+125+32+32+33.5+297+10.04+10+12+8+8+21+17+96+36+232+210+30+92+75+274+7.5+6+6+12+6+6</f>
        <v>1977.47</v>
      </c>
      <c r="H5" s="2"/>
      <c r="I5" s="2"/>
      <c r="J5" s="2"/>
    </row>
    <row r="6" spans="1:10" x14ac:dyDescent="0.25">
      <c r="A6" s="2" t="s">
        <v>24</v>
      </c>
      <c r="B6" s="6"/>
      <c r="C6" s="2"/>
      <c r="D6" s="2"/>
      <c r="E6" s="2"/>
      <c r="F6" s="2" t="s">
        <v>24</v>
      </c>
      <c r="G6" s="6">
        <f>150+150+300+150+140+150</f>
        <v>1040</v>
      </c>
      <c r="H6" s="2"/>
      <c r="I6" s="2"/>
      <c r="J6" s="2"/>
    </row>
    <row r="7" spans="1:10" x14ac:dyDescent="0.25">
      <c r="A7" s="2" t="s">
        <v>25</v>
      </c>
      <c r="B7" s="6"/>
      <c r="C7" s="2"/>
      <c r="D7" s="2"/>
      <c r="E7" s="2"/>
      <c r="F7" s="2" t="s">
        <v>25</v>
      </c>
      <c r="G7" s="6">
        <f>108+8</f>
        <v>116</v>
      </c>
      <c r="H7" s="2"/>
      <c r="I7" s="2"/>
      <c r="J7" s="2"/>
    </row>
    <row r="8" spans="1:10" x14ac:dyDescent="0.25">
      <c r="A8" s="2" t="s">
        <v>26</v>
      </c>
      <c r="B8" s="6"/>
      <c r="C8" s="2"/>
      <c r="D8" s="2"/>
      <c r="E8" s="2"/>
      <c r="F8" s="2" t="s">
        <v>26</v>
      </c>
      <c r="G8" s="6">
        <f>136+15+15</f>
        <v>166</v>
      </c>
      <c r="H8" s="2"/>
      <c r="I8" s="2"/>
      <c r="J8" s="2"/>
    </row>
    <row r="9" spans="1:10" x14ac:dyDescent="0.25">
      <c r="A9" s="2" t="s">
        <v>27</v>
      </c>
      <c r="B9" s="6"/>
      <c r="C9" s="2"/>
      <c r="D9" s="2"/>
      <c r="E9" s="2"/>
      <c r="F9" s="2" t="s">
        <v>27</v>
      </c>
      <c r="G9" s="6">
        <f>20+20</f>
        <v>40</v>
      </c>
      <c r="H9" s="2"/>
      <c r="I9" s="2"/>
      <c r="J9" s="2"/>
    </row>
    <row r="10" spans="1:10" x14ac:dyDescent="0.25">
      <c r="A10" s="2" t="s">
        <v>32</v>
      </c>
      <c r="B10" s="6"/>
      <c r="C10" s="2"/>
      <c r="D10" s="2"/>
      <c r="E10" s="2"/>
      <c r="F10" s="2" t="s">
        <v>32</v>
      </c>
      <c r="G10" s="6">
        <f>68</f>
        <v>68</v>
      </c>
      <c r="H10" s="2"/>
      <c r="I10" s="2"/>
      <c r="J10" s="2"/>
    </row>
    <row r="11" spans="1:10" x14ac:dyDescent="0.25">
      <c r="A11" s="2" t="s">
        <v>14</v>
      </c>
      <c r="B11" s="6"/>
      <c r="C11" s="2"/>
      <c r="D11" s="2"/>
      <c r="E11" s="2"/>
      <c r="F11" s="2" t="s">
        <v>14</v>
      </c>
      <c r="G11" s="6">
        <f>17</f>
        <v>17</v>
      </c>
      <c r="H11" s="2"/>
      <c r="I11" s="2"/>
      <c r="J11" s="2"/>
    </row>
    <row r="12" spans="1:10" ht="30" x14ac:dyDescent="0.25">
      <c r="A12" s="3" t="s">
        <v>28</v>
      </c>
      <c r="B12" s="6"/>
      <c r="C12" s="2"/>
      <c r="D12" s="2"/>
      <c r="E12" s="2"/>
      <c r="F12" s="3" t="s">
        <v>28</v>
      </c>
      <c r="G12" s="6">
        <f>180+180+240+116+240+80+18</f>
        <v>1054</v>
      </c>
      <c r="H12" s="2"/>
      <c r="I12" s="2"/>
      <c r="J12" s="2"/>
    </row>
    <row r="13" spans="1:10" x14ac:dyDescent="0.25">
      <c r="A13" s="2" t="s">
        <v>29</v>
      </c>
      <c r="B13" s="6">
        <f>160</f>
        <v>160</v>
      </c>
      <c r="C13" s="2"/>
      <c r="D13" s="2"/>
      <c r="E13" s="2"/>
      <c r="F13" s="2" t="s">
        <v>29</v>
      </c>
      <c r="G13" s="6">
        <f>90</f>
        <v>90</v>
      </c>
      <c r="H13" s="2"/>
      <c r="I13" s="2"/>
      <c r="J13" s="2"/>
    </row>
    <row r="14" spans="1:10" x14ac:dyDescent="0.25">
      <c r="A14" s="2" t="s">
        <v>30</v>
      </c>
      <c r="B14" s="6"/>
      <c r="C14" s="2"/>
      <c r="D14" s="2"/>
      <c r="E14" s="2"/>
      <c r="F14" s="2" t="s">
        <v>30</v>
      </c>
      <c r="G14" s="6">
        <f>16+16+16+197.5+8</f>
        <v>253.5</v>
      </c>
      <c r="H14" s="2"/>
      <c r="I14" s="2"/>
      <c r="J14" s="2"/>
    </row>
    <row r="15" spans="1:10" ht="27.75" customHeight="1" x14ac:dyDescent="0.25">
      <c r="A15" s="3" t="s">
        <v>31</v>
      </c>
      <c r="B15" s="6"/>
      <c r="C15" s="2"/>
      <c r="D15" s="2"/>
      <c r="E15" s="2"/>
      <c r="F15" s="3" t="s">
        <v>31</v>
      </c>
      <c r="G15" s="6">
        <f>12+12+9</f>
        <v>33</v>
      </c>
      <c r="H15" s="2"/>
      <c r="I15" s="2"/>
      <c r="J15" s="2"/>
    </row>
    <row r="16" spans="1:10" ht="45" x14ac:dyDescent="0.25">
      <c r="A16" s="3" t="s">
        <v>20</v>
      </c>
      <c r="B16" s="6"/>
      <c r="C16" s="2"/>
      <c r="D16" s="2"/>
      <c r="E16" s="2"/>
      <c r="F16" s="3" t="s">
        <v>20</v>
      </c>
      <c r="G16" s="6"/>
      <c r="H16" s="4"/>
      <c r="I16" s="2"/>
      <c r="J16" s="3"/>
    </row>
    <row r="17" spans="1:11" ht="30" x14ac:dyDescent="0.25">
      <c r="A17" s="3" t="s">
        <v>21</v>
      </c>
      <c r="B17" s="6"/>
      <c r="C17" s="2"/>
      <c r="D17" s="2"/>
      <c r="E17" s="2"/>
      <c r="F17" s="3" t="s">
        <v>21</v>
      </c>
      <c r="G17" s="6"/>
      <c r="H17" s="4"/>
      <c r="I17" s="2"/>
      <c r="J17" s="3"/>
    </row>
    <row r="18" spans="1:11" x14ac:dyDescent="0.25">
      <c r="A18" s="2" t="s">
        <v>5</v>
      </c>
      <c r="B18" s="6">
        <f>12817.5-1091</f>
        <v>11726.5</v>
      </c>
      <c r="C18" s="2"/>
      <c r="D18" s="2"/>
      <c r="E18" s="2"/>
      <c r="F18" s="2" t="s">
        <v>5</v>
      </c>
      <c r="G18" s="6"/>
      <c r="H18" s="2"/>
      <c r="I18" s="2"/>
      <c r="J18" s="2"/>
    </row>
    <row r="19" spans="1:11" x14ac:dyDescent="0.25">
      <c r="A19" s="2" t="s">
        <v>89</v>
      </c>
      <c r="B19" s="6">
        <v>1091</v>
      </c>
      <c r="C19" s="4">
        <v>43691</v>
      </c>
      <c r="D19" s="2"/>
      <c r="E19" s="2" t="s">
        <v>90</v>
      </c>
      <c r="F19" s="2"/>
      <c r="G19" s="6"/>
      <c r="H19" s="2"/>
      <c r="I19" s="2"/>
      <c r="J19" s="2"/>
    </row>
    <row r="20" spans="1:11" x14ac:dyDescent="0.25">
      <c r="A20" s="2" t="s">
        <v>50</v>
      </c>
      <c r="B20" s="6">
        <v>78.39</v>
      </c>
      <c r="C20" s="2"/>
      <c r="D20" s="2"/>
      <c r="E20" s="2"/>
      <c r="F20" s="2"/>
      <c r="G20" s="6"/>
      <c r="H20" s="2"/>
      <c r="I20" s="2"/>
      <c r="J20" s="2"/>
    </row>
    <row r="21" spans="1:11" x14ac:dyDescent="0.25">
      <c r="A21" s="2" t="s">
        <v>51</v>
      </c>
      <c r="B21" s="6">
        <v>28.96</v>
      </c>
      <c r="C21" s="2"/>
      <c r="D21" s="2"/>
      <c r="E21" s="2"/>
      <c r="F21" s="2"/>
      <c r="G21" s="6"/>
      <c r="H21" s="2"/>
      <c r="I21" s="2"/>
      <c r="J21" s="2"/>
    </row>
    <row r="22" spans="1:11" x14ac:dyDescent="0.25">
      <c r="A22" s="5" t="s">
        <v>8</v>
      </c>
      <c r="B22" s="7">
        <f>B4+B18+B20+B21+B19</f>
        <v>13084.849999999999</v>
      </c>
      <c r="C22" s="2"/>
      <c r="D22" s="2"/>
      <c r="E22" s="2"/>
      <c r="F22" s="5" t="s">
        <v>8</v>
      </c>
      <c r="G22" s="7">
        <f>G4+G16+G17+G18</f>
        <v>4854.97</v>
      </c>
      <c r="H22" s="2"/>
      <c r="I22" s="2"/>
      <c r="J22" s="2"/>
      <c r="K22" s="18">
        <f>B22+G22</f>
        <v>17939.82</v>
      </c>
    </row>
    <row r="23" spans="1:11" x14ac:dyDescent="0.25">
      <c r="A23" s="2"/>
      <c r="B23" s="6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22" t="s">
        <v>3</v>
      </c>
      <c r="B24" s="23"/>
      <c r="C24" s="2"/>
      <c r="D24" s="2"/>
      <c r="E24" s="2"/>
      <c r="F24" s="2"/>
      <c r="G24" s="2"/>
      <c r="H24" s="2"/>
      <c r="I24" s="2"/>
      <c r="J24" s="2"/>
    </row>
    <row r="25" spans="1:11" ht="39.75" customHeight="1" x14ac:dyDescent="0.25">
      <c r="A25" s="5" t="s">
        <v>4</v>
      </c>
      <c r="B25" s="5" t="s">
        <v>2</v>
      </c>
      <c r="C25" s="5" t="s">
        <v>18</v>
      </c>
      <c r="D25" s="10" t="s">
        <v>19</v>
      </c>
      <c r="E25" s="5" t="s">
        <v>16</v>
      </c>
      <c r="F25" s="5" t="s">
        <v>4</v>
      </c>
      <c r="G25" s="5" t="s">
        <v>2</v>
      </c>
      <c r="H25" s="5" t="s">
        <v>18</v>
      </c>
      <c r="I25" s="10" t="s">
        <v>19</v>
      </c>
      <c r="J25" s="5" t="s">
        <v>16</v>
      </c>
    </row>
    <row r="26" spans="1:11" x14ac:dyDescent="0.25">
      <c r="A26" s="15" t="s">
        <v>53</v>
      </c>
      <c r="B26" s="13">
        <f>95+295+40+95</f>
        <v>525</v>
      </c>
      <c r="C26" s="14"/>
      <c r="D26" s="2"/>
      <c r="E26" s="2" t="s">
        <v>59</v>
      </c>
      <c r="F26" s="3" t="s">
        <v>33</v>
      </c>
      <c r="G26" s="6">
        <v>150</v>
      </c>
      <c r="H26" s="4">
        <v>43069</v>
      </c>
      <c r="I26" s="2"/>
      <c r="J26" s="2" t="s">
        <v>34</v>
      </c>
    </row>
    <row r="27" spans="1:11" x14ac:dyDescent="0.25">
      <c r="A27" s="11" t="s">
        <v>54</v>
      </c>
      <c r="B27" s="13">
        <v>488</v>
      </c>
      <c r="C27" s="14">
        <v>43056</v>
      </c>
      <c r="D27" s="2"/>
      <c r="E27" s="2" t="s">
        <v>55</v>
      </c>
      <c r="F27" s="11" t="s">
        <v>36</v>
      </c>
      <c r="G27" s="13">
        <v>56.29</v>
      </c>
      <c r="H27" s="14">
        <v>43056</v>
      </c>
      <c r="I27" s="2"/>
      <c r="J27" s="2" t="s">
        <v>35</v>
      </c>
    </row>
    <row r="28" spans="1:11" ht="30" x14ac:dyDescent="0.25">
      <c r="A28" s="3" t="s">
        <v>41</v>
      </c>
      <c r="B28" s="13">
        <v>540</v>
      </c>
      <c r="C28" s="14">
        <v>42893</v>
      </c>
      <c r="D28" s="2"/>
      <c r="E28" s="2" t="s">
        <v>42</v>
      </c>
      <c r="F28" s="3" t="s">
        <v>41</v>
      </c>
      <c r="G28" s="6">
        <v>300</v>
      </c>
      <c r="H28" s="4">
        <v>42893</v>
      </c>
      <c r="I28" s="2"/>
      <c r="J28" s="2" t="s">
        <v>42</v>
      </c>
    </row>
    <row r="29" spans="1:11" ht="30" x14ac:dyDescent="0.25">
      <c r="A29" s="11" t="s">
        <v>65</v>
      </c>
      <c r="B29" s="13">
        <v>1583.07</v>
      </c>
      <c r="C29" s="14">
        <v>43007</v>
      </c>
      <c r="D29" s="2"/>
      <c r="E29" s="2" t="s">
        <v>58</v>
      </c>
      <c r="F29" s="3"/>
      <c r="G29" s="6"/>
      <c r="H29" s="4"/>
      <c r="I29" s="2"/>
      <c r="J29" s="3"/>
    </row>
    <row r="30" spans="1:11" x14ac:dyDescent="0.25">
      <c r="A30" s="11" t="s">
        <v>60</v>
      </c>
      <c r="B30" s="13">
        <v>89.76</v>
      </c>
      <c r="C30" s="14">
        <v>42997</v>
      </c>
      <c r="D30" s="2"/>
      <c r="E30" s="2" t="s">
        <v>76</v>
      </c>
      <c r="F30" s="3"/>
      <c r="G30" s="6"/>
      <c r="H30" s="4"/>
      <c r="I30" s="2"/>
      <c r="J30" s="3"/>
    </row>
    <row r="31" spans="1:11" x14ac:dyDescent="0.25">
      <c r="A31" s="11" t="s">
        <v>61</v>
      </c>
      <c r="B31" s="13">
        <v>339.5</v>
      </c>
      <c r="C31" s="14">
        <v>42997</v>
      </c>
      <c r="D31" s="2"/>
      <c r="E31" s="2" t="s">
        <v>62</v>
      </c>
      <c r="F31" s="3"/>
      <c r="G31" s="6"/>
      <c r="H31" s="4"/>
      <c r="I31" s="2"/>
      <c r="J31" s="3"/>
    </row>
    <row r="32" spans="1:11" x14ac:dyDescent="0.25">
      <c r="A32" s="15" t="s">
        <v>63</v>
      </c>
      <c r="B32" s="13">
        <v>30</v>
      </c>
      <c r="C32" s="14">
        <v>42978</v>
      </c>
      <c r="D32" s="15"/>
      <c r="E32" s="15" t="s">
        <v>64</v>
      </c>
      <c r="F32" s="3"/>
      <c r="G32" s="6"/>
      <c r="H32" s="4"/>
      <c r="I32" s="2"/>
      <c r="J32" s="3"/>
    </row>
    <row r="33" spans="1:20" x14ac:dyDescent="0.25">
      <c r="A33" s="15" t="s">
        <v>63</v>
      </c>
      <c r="B33" s="13">
        <v>19.5</v>
      </c>
      <c r="C33" s="14">
        <v>42807</v>
      </c>
      <c r="D33" s="15"/>
      <c r="E33" s="15" t="s">
        <v>64</v>
      </c>
      <c r="F33" s="3"/>
      <c r="G33" s="6"/>
      <c r="H33" s="4"/>
      <c r="I33" s="2"/>
      <c r="J33" s="3"/>
    </row>
    <row r="34" spans="1:20" x14ac:dyDescent="0.25">
      <c r="A34" s="15" t="s">
        <v>63</v>
      </c>
      <c r="B34" s="13">
        <v>36</v>
      </c>
      <c r="C34" s="14">
        <v>42893</v>
      </c>
      <c r="D34" s="15"/>
      <c r="E34" s="15" t="s">
        <v>66</v>
      </c>
      <c r="F34" s="3"/>
      <c r="G34" s="6"/>
      <c r="H34" s="4"/>
      <c r="I34" s="2"/>
      <c r="J34" s="3"/>
    </row>
    <row r="35" spans="1:20" ht="30" x14ac:dyDescent="0.25">
      <c r="A35" s="15" t="s">
        <v>67</v>
      </c>
      <c r="B35" s="13">
        <v>315</v>
      </c>
      <c r="C35" s="14">
        <v>42871</v>
      </c>
      <c r="D35" s="15"/>
      <c r="E35" s="11" t="s">
        <v>75</v>
      </c>
      <c r="F35" s="3"/>
      <c r="G35" s="6"/>
      <c r="H35" s="4"/>
      <c r="I35" s="2"/>
      <c r="J35" s="3"/>
    </row>
    <row r="36" spans="1:20" x14ac:dyDescent="0.25">
      <c r="A36" s="11" t="s">
        <v>56</v>
      </c>
      <c r="B36" s="13">
        <v>327</v>
      </c>
      <c r="C36" s="14">
        <v>43014</v>
      </c>
      <c r="D36" s="2"/>
      <c r="E36" s="2" t="s">
        <v>57</v>
      </c>
      <c r="F36" s="3"/>
      <c r="G36" s="6"/>
      <c r="H36" s="4"/>
      <c r="I36" s="2"/>
      <c r="J36" s="3"/>
    </row>
    <row r="37" spans="1:20" ht="30" x14ac:dyDescent="0.25">
      <c r="A37" s="11" t="s">
        <v>71</v>
      </c>
      <c r="B37" s="13">
        <v>38</v>
      </c>
      <c r="C37" s="14">
        <v>43492</v>
      </c>
      <c r="D37" s="2"/>
      <c r="E37" s="3" t="s">
        <v>74</v>
      </c>
      <c r="F37" s="3"/>
      <c r="G37" s="6"/>
      <c r="H37" s="4"/>
      <c r="I37" s="2"/>
      <c r="J37" s="3"/>
    </row>
    <row r="38" spans="1:20" x14ac:dyDescent="0.25">
      <c r="A38" s="2" t="s">
        <v>9</v>
      </c>
      <c r="B38" s="6">
        <f>233.98+0.4</f>
        <v>234.38</v>
      </c>
      <c r="C38" s="2"/>
      <c r="D38" s="2"/>
      <c r="E38" s="2"/>
      <c r="F38" s="2"/>
      <c r="G38" s="6"/>
      <c r="H38" s="2"/>
      <c r="I38" s="2"/>
      <c r="J38" s="2"/>
    </row>
    <row r="39" spans="1:20" x14ac:dyDescent="0.25">
      <c r="A39" s="2" t="s">
        <v>10</v>
      </c>
      <c r="B39" s="6">
        <f>255.6+389.63</f>
        <v>645.23</v>
      </c>
      <c r="C39" s="2"/>
      <c r="D39" s="2"/>
      <c r="E39" s="2" t="s">
        <v>37</v>
      </c>
      <c r="F39" s="3" t="s">
        <v>48</v>
      </c>
      <c r="G39" s="6"/>
      <c r="H39" s="2"/>
      <c r="I39" s="2"/>
      <c r="J39" s="2" t="s">
        <v>37</v>
      </c>
    </row>
    <row r="40" spans="1:20" x14ac:dyDescent="0.25">
      <c r="A40" s="15" t="s">
        <v>10</v>
      </c>
      <c r="B40" s="2">
        <f>145.82+294.05+509.04+80.88+127.32</f>
        <v>1157.1099999999999</v>
      </c>
      <c r="C40" s="4"/>
      <c r="D40" s="2"/>
      <c r="E40" s="2" t="s">
        <v>38</v>
      </c>
      <c r="F40" s="3" t="s">
        <v>10</v>
      </c>
      <c r="G40" s="6">
        <f>90+434.02+310.32</f>
        <v>834.33999999999992</v>
      </c>
      <c r="H40" s="2"/>
      <c r="I40" s="2"/>
      <c r="J40" s="2" t="s">
        <v>38</v>
      </c>
    </row>
    <row r="41" spans="1:20" x14ac:dyDescent="0.25">
      <c r="A41" s="15" t="s">
        <v>68</v>
      </c>
      <c r="B41" s="13">
        <v>31.2</v>
      </c>
      <c r="C41" s="2"/>
      <c r="D41" s="2"/>
      <c r="E41" s="2" t="s">
        <v>37</v>
      </c>
      <c r="F41" s="2" t="s">
        <v>69</v>
      </c>
      <c r="G41" s="6">
        <f>265.6+833.4</f>
        <v>1099</v>
      </c>
      <c r="H41" s="4">
        <v>43056</v>
      </c>
      <c r="I41" s="2"/>
      <c r="J41" s="2" t="s">
        <v>37</v>
      </c>
    </row>
    <row r="42" spans="1:20" x14ac:dyDescent="0.25">
      <c r="A42" s="2" t="s">
        <v>70</v>
      </c>
      <c r="B42" s="2">
        <v>69</v>
      </c>
      <c r="C42" s="2"/>
      <c r="D42" s="2"/>
      <c r="E42" s="2" t="s">
        <v>73</v>
      </c>
      <c r="F42" s="2" t="s">
        <v>43</v>
      </c>
      <c r="G42" s="2">
        <f>267+446</f>
        <v>713</v>
      </c>
      <c r="H42" s="4"/>
      <c r="I42" s="2"/>
      <c r="J42" s="2" t="s">
        <v>72</v>
      </c>
    </row>
    <row r="43" spans="1:20" x14ac:dyDescent="0.25">
      <c r="A43" s="2" t="s">
        <v>52</v>
      </c>
      <c r="B43" s="6">
        <f>40.46+8.64</f>
        <v>49.1</v>
      </c>
      <c r="C43" s="2"/>
      <c r="D43" s="2"/>
      <c r="E43" s="2"/>
      <c r="F43" s="2" t="s">
        <v>39</v>
      </c>
      <c r="G43" s="2">
        <v>67.5</v>
      </c>
      <c r="H43" s="4">
        <v>42913</v>
      </c>
      <c r="I43" s="2"/>
      <c r="J43" s="2" t="s">
        <v>40</v>
      </c>
      <c r="K43" s="16"/>
      <c r="L43" s="17"/>
      <c r="M43" s="16"/>
      <c r="N43" s="16"/>
      <c r="O43" s="16"/>
      <c r="P43" s="16"/>
      <c r="Q43" s="17"/>
      <c r="R43" s="16"/>
      <c r="S43" s="16"/>
      <c r="T43" s="16"/>
    </row>
    <row r="44" spans="1:20" ht="32.25" customHeight="1" x14ac:dyDescent="0.25">
      <c r="A44" s="2" t="s">
        <v>11</v>
      </c>
      <c r="B44" s="6">
        <v>3600.3</v>
      </c>
      <c r="C44" s="4">
        <v>42913</v>
      </c>
      <c r="D44" s="2"/>
      <c r="E44" s="3"/>
      <c r="F44" s="2" t="s">
        <v>44</v>
      </c>
      <c r="G44" s="6">
        <v>78.86</v>
      </c>
      <c r="H44" s="4">
        <v>42859</v>
      </c>
      <c r="I44" s="2"/>
      <c r="J44" s="2" t="s">
        <v>45</v>
      </c>
    </row>
    <row r="45" spans="1:20" ht="32.25" customHeight="1" x14ac:dyDescent="0.25">
      <c r="A45" s="2" t="s">
        <v>11</v>
      </c>
      <c r="B45" s="6">
        <v>1443.4</v>
      </c>
      <c r="C45" s="4">
        <v>42871</v>
      </c>
      <c r="D45" s="2"/>
      <c r="E45" s="3"/>
      <c r="F45" s="2" t="s">
        <v>46</v>
      </c>
      <c r="G45" s="6">
        <v>44.68</v>
      </c>
      <c r="H45" s="4">
        <v>42804</v>
      </c>
      <c r="I45" s="2"/>
      <c r="J45" s="2" t="s">
        <v>47</v>
      </c>
    </row>
    <row r="46" spans="1:20" x14ac:dyDescent="0.25">
      <c r="A46" s="2" t="s">
        <v>11</v>
      </c>
      <c r="B46" s="6"/>
      <c r="C46" s="4"/>
      <c r="D46" s="2"/>
      <c r="E46" s="2"/>
      <c r="F46" s="2"/>
      <c r="G46" s="2"/>
      <c r="H46" s="2"/>
      <c r="I46" s="2"/>
      <c r="J46" s="2"/>
    </row>
    <row r="47" spans="1:20" x14ac:dyDescent="0.25">
      <c r="A47" s="5" t="s">
        <v>8</v>
      </c>
      <c r="B47" s="7">
        <f>SUM(B26:B46)</f>
        <v>11560.550000000001</v>
      </c>
      <c r="C47" s="2"/>
      <c r="D47" s="2"/>
      <c r="E47" s="2"/>
      <c r="F47" s="5" t="s">
        <v>8</v>
      </c>
      <c r="G47" s="7">
        <f>SUM(G26:G46)</f>
        <v>3343.67</v>
      </c>
      <c r="H47" s="2"/>
      <c r="I47" s="2"/>
      <c r="J47" s="2"/>
      <c r="K47" s="18">
        <f>B47+G47</f>
        <v>14904.220000000001</v>
      </c>
    </row>
    <row r="48" spans="1:20" x14ac:dyDescent="0.25">
      <c r="C48" s="8" t="s">
        <v>23</v>
      </c>
      <c r="D48" s="12">
        <f>D1+B22-B47</f>
        <v>4536.7999999999975</v>
      </c>
      <c r="H48" s="8" t="s">
        <v>23</v>
      </c>
      <c r="I48" s="12">
        <f>I1+G22-G47</f>
        <v>1511.3000000000002</v>
      </c>
    </row>
    <row r="50" spans="1:3" x14ac:dyDescent="0.25">
      <c r="A50" s="5" t="s">
        <v>77</v>
      </c>
      <c r="B50" s="19" t="s">
        <v>87</v>
      </c>
      <c r="C50" s="19" t="s">
        <v>88</v>
      </c>
    </row>
    <row r="51" spans="1:3" x14ac:dyDescent="0.25">
      <c r="A51" s="5" t="s">
        <v>0</v>
      </c>
      <c r="B51" s="7">
        <f>B52+B53+B55+B56+B57+B54</f>
        <v>17789.82</v>
      </c>
      <c r="C51" s="21">
        <v>1</v>
      </c>
    </row>
    <row r="52" spans="1:3" x14ac:dyDescent="0.25">
      <c r="A52" s="2" t="s">
        <v>78</v>
      </c>
      <c r="B52" s="6">
        <f>B18+G18</f>
        <v>11726.5</v>
      </c>
      <c r="C52" s="20">
        <f>B52/B51</f>
        <v>0.65916912031712516</v>
      </c>
    </row>
    <row r="53" spans="1:3" x14ac:dyDescent="0.25">
      <c r="A53" s="2" t="s">
        <v>79</v>
      </c>
      <c r="B53" s="6">
        <f>B4+G4-G26</f>
        <v>4864.97</v>
      </c>
      <c r="C53" s="20">
        <f>B53/B51</f>
        <v>0.27346932121853962</v>
      </c>
    </row>
    <row r="54" spans="1:3" x14ac:dyDescent="0.25">
      <c r="A54" s="2" t="s">
        <v>89</v>
      </c>
      <c r="B54" s="6">
        <v>1091</v>
      </c>
      <c r="C54" s="20">
        <f>B54/B51</f>
        <v>6.1327208482154401E-2</v>
      </c>
    </row>
    <row r="55" spans="1:3" x14ac:dyDescent="0.25">
      <c r="A55" s="2" t="s">
        <v>81</v>
      </c>
      <c r="B55" s="2">
        <v>0</v>
      </c>
      <c r="C55" s="20">
        <f>B55/B51</f>
        <v>0</v>
      </c>
    </row>
    <row r="56" spans="1:3" x14ac:dyDescent="0.25">
      <c r="A56" s="2" t="s">
        <v>50</v>
      </c>
      <c r="B56" s="6">
        <f>B20</f>
        <v>78.39</v>
      </c>
      <c r="C56" s="20">
        <f>B56/B51</f>
        <v>4.4064526791164835E-3</v>
      </c>
    </row>
    <row r="57" spans="1:3" x14ac:dyDescent="0.25">
      <c r="A57" s="2" t="s">
        <v>80</v>
      </c>
      <c r="B57" s="6">
        <f>B21</f>
        <v>28.96</v>
      </c>
      <c r="C57" s="20">
        <f>B57/B51</f>
        <v>1.627897303064337E-3</v>
      </c>
    </row>
    <row r="58" spans="1:3" x14ac:dyDescent="0.25">
      <c r="A58" s="5" t="s">
        <v>77</v>
      </c>
      <c r="B58" s="19" t="s">
        <v>87</v>
      </c>
      <c r="C58" s="19" t="s">
        <v>88</v>
      </c>
    </row>
    <row r="59" spans="1:3" x14ac:dyDescent="0.25">
      <c r="A59" s="5" t="s">
        <v>3</v>
      </c>
      <c r="B59" s="7">
        <f>B60+B61+B62+B64+B63</f>
        <v>14754.22</v>
      </c>
      <c r="C59" s="21">
        <v>1</v>
      </c>
    </row>
    <row r="60" spans="1:3" x14ac:dyDescent="0.25">
      <c r="A60" s="2" t="s">
        <v>82</v>
      </c>
      <c r="B60" s="6">
        <f>B44+B45</f>
        <v>5043.7000000000007</v>
      </c>
      <c r="C60" s="20">
        <f>B60/B59</f>
        <v>0.34184795943126789</v>
      </c>
    </row>
    <row r="61" spans="1:3" ht="30" x14ac:dyDescent="0.25">
      <c r="A61" s="3" t="s">
        <v>85</v>
      </c>
      <c r="B61" s="6">
        <f>B28+B32+B33+B34+B35+B39+B40+B41+G27+G28+G40+G41+G42+G43+B37</f>
        <v>5882.17</v>
      </c>
      <c r="C61" s="20">
        <f>B61/B59</f>
        <v>0.39867712423970908</v>
      </c>
    </row>
    <row r="62" spans="1:3" x14ac:dyDescent="0.25">
      <c r="A62" s="2" t="s">
        <v>83</v>
      </c>
      <c r="B62" s="6">
        <f>B26+B29+B30+B31</f>
        <v>2537.33</v>
      </c>
      <c r="C62" s="20">
        <f>B62/B59</f>
        <v>0.17197317106563412</v>
      </c>
    </row>
    <row r="63" spans="1:3" x14ac:dyDescent="0.25">
      <c r="A63" s="2" t="s">
        <v>86</v>
      </c>
      <c r="B63" s="6">
        <f>B38</f>
        <v>234.38</v>
      </c>
      <c r="C63" s="20">
        <f>B63/B59</f>
        <v>1.588562458740618E-2</v>
      </c>
    </row>
    <row r="64" spans="1:3" x14ac:dyDescent="0.25">
      <c r="A64" s="2" t="s">
        <v>84</v>
      </c>
      <c r="B64" s="6">
        <f>B36+B42+B43+G44+G45+B27</f>
        <v>1056.6399999999999</v>
      </c>
      <c r="C64" s="20">
        <f>B64/B59</f>
        <v>7.1616120675982872E-2</v>
      </c>
    </row>
  </sheetData>
  <mergeCells count="3">
    <mergeCell ref="A2:B2"/>
    <mergeCell ref="A24:B24"/>
    <mergeCell ref="F2:G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28" zoomScale="82" zoomScaleNormal="82" workbookViewId="0">
      <selection activeCell="E57" sqref="E57"/>
    </sheetView>
  </sheetViews>
  <sheetFormatPr defaultRowHeight="15" x14ac:dyDescent="0.25"/>
  <cols>
    <col min="1" max="1" width="33.85546875" customWidth="1"/>
    <col min="2" max="2" width="16" customWidth="1"/>
    <col min="3" max="3" width="11.42578125" customWidth="1"/>
    <col min="4" max="4" width="11.5703125" customWidth="1"/>
    <col min="5" max="5" width="50.5703125" customWidth="1"/>
    <col min="6" max="6" width="25.140625" customWidth="1"/>
    <col min="7" max="7" width="15.28515625" customWidth="1"/>
    <col min="8" max="8" width="12.85546875" customWidth="1"/>
    <col min="9" max="9" width="12.28515625" customWidth="1"/>
    <col min="10" max="10" width="22.140625" customWidth="1"/>
    <col min="11" max="11" width="11" customWidth="1"/>
  </cols>
  <sheetData>
    <row r="1" spans="1:10" x14ac:dyDescent="0.25">
      <c r="A1" s="8" t="s">
        <v>15</v>
      </c>
      <c r="C1" s="8" t="s">
        <v>22</v>
      </c>
      <c r="D1" s="12">
        <v>4536.8</v>
      </c>
      <c r="E1" s="8"/>
      <c r="F1" s="9" t="s">
        <v>17</v>
      </c>
      <c r="H1" s="8" t="s">
        <v>22</v>
      </c>
      <c r="I1" s="8">
        <v>1511.3</v>
      </c>
      <c r="J1" s="8"/>
    </row>
    <row r="2" spans="1:10" x14ac:dyDescent="0.25">
      <c r="A2" s="22" t="s">
        <v>0</v>
      </c>
      <c r="B2" s="23"/>
      <c r="C2" s="2"/>
      <c r="D2" s="2"/>
      <c r="E2" s="2"/>
      <c r="F2" s="22" t="s">
        <v>0</v>
      </c>
      <c r="G2" s="23"/>
      <c r="H2" s="2"/>
      <c r="I2" s="2"/>
      <c r="J2" s="2"/>
    </row>
    <row r="3" spans="1:10" x14ac:dyDescent="0.25">
      <c r="A3" s="5" t="s">
        <v>1</v>
      </c>
      <c r="B3" s="5" t="s">
        <v>2</v>
      </c>
      <c r="C3" s="2"/>
      <c r="D3" s="2"/>
      <c r="E3" s="5" t="s">
        <v>16</v>
      </c>
      <c r="F3" s="5" t="s">
        <v>1</v>
      </c>
      <c r="G3" s="5" t="s">
        <v>2</v>
      </c>
      <c r="H3" s="2"/>
      <c r="I3" s="2"/>
      <c r="J3" s="5" t="s">
        <v>16</v>
      </c>
    </row>
    <row r="4" spans="1:10" x14ac:dyDescent="0.25">
      <c r="A4" s="2" t="s">
        <v>12</v>
      </c>
      <c r="B4" s="6">
        <f>B5+B7+B9+B10+B11+B12+B13</f>
        <v>894.06</v>
      </c>
      <c r="C4" s="2"/>
      <c r="D4" s="2"/>
      <c r="E4" s="2"/>
      <c r="F4" s="2" t="s">
        <v>12</v>
      </c>
      <c r="G4" s="6">
        <f>G5+G6+G7+G8+G9+G10+G11+G12+G13</f>
        <v>6276.57</v>
      </c>
      <c r="H4" s="2"/>
      <c r="I4" s="2"/>
      <c r="J4" s="2"/>
    </row>
    <row r="5" spans="1:10" x14ac:dyDescent="0.25">
      <c r="A5" s="2" t="s">
        <v>13</v>
      </c>
      <c r="B5" s="6">
        <f>240</f>
        <v>240</v>
      </c>
      <c r="C5" s="2"/>
      <c r="D5" s="2"/>
      <c r="E5" s="2"/>
      <c r="F5" s="2" t="s">
        <v>13</v>
      </c>
      <c r="G5" s="6">
        <f>152+102+370+285+188+249+244.57</f>
        <v>1590.57</v>
      </c>
      <c r="H5" s="2"/>
      <c r="I5" s="2"/>
      <c r="J5" s="2"/>
    </row>
    <row r="6" spans="1:10" x14ac:dyDescent="0.25">
      <c r="A6" s="2" t="s">
        <v>91</v>
      </c>
      <c r="B6" s="6"/>
      <c r="C6" s="2"/>
      <c r="D6" s="2"/>
      <c r="E6" s="2"/>
      <c r="F6" s="2" t="s">
        <v>91</v>
      </c>
      <c r="G6" s="6">
        <v>162</v>
      </c>
      <c r="H6" s="2"/>
      <c r="I6" s="2"/>
      <c r="J6" s="2"/>
    </row>
    <row r="7" spans="1:10" x14ac:dyDescent="0.25">
      <c r="A7" s="2" t="s">
        <v>92</v>
      </c>
      <c r="B7" s="6"/>
      <c r="C7" s="2"/>
      <c r="D7" s="2"/>
      <c r="E7" s="2"/>
      <c r="F7" s="2" t="s">
        <v>92</v>
      </c>
      <c r="G7" s="6">
        <v>350</v>
      </c>
      <c r="H7" s="2"/>
      <c r="I7" s="2"/>
      <c r="J7" s="2"/>
    </row>
    <row r="8" spans="1:10" x14ac:dyDescent="0.25">
      <c r="A8" s="2" t="s">
        <v>93</v>
      </c>
      <c r="B8" s="6"/>
      <c r="C8" s="2"/>
      <c r="D8" s="2"/>
      <c r="E8" s="2"/>
      <c r="F8" s="2" t="s">
        <v>93</v>
      </c>
      <c r="G8" s="6">
        <v>1787</v>
      </c>
      <c r="H8" s="2"/>
      <c r="I8" s="2"/>
      <c r="J8" s="2"/>
    </row>
    <row r="9" spans="1:10" x14ac:dyDescent="0.25">
      <c r="A9" s="2" t="s">
        <v>94</v>
      </c>
      <c r="B9" s="6"/>
      <c r="C9" s="2"/>
      <c r="D9" s="2"/>
      <c r="E9" s="2"/>
      <c r="F9" s="2" t="s">
        <v>94</v>
      </c>
      <c r="G9" s="6">
        <v>1290</v>
      </c>
      <c r="H9" s="2"/>
      <c r="I9" s="2"/>
      <c r="J9" s="2"/>
    </row>
    <row r="10" spans="1:10" x14ac:dyDescent="0.25">
      <c r="A10" s="2" t="s">
        <v>95</v>
      </c>
      <c r="B10" s="6">
        <v>212.06</v>
      </c>
      <c r="C10" s="2"/>
      <c r="D10" s="2"/>
      <c r="E10" s="2"/>
      <c r="F10" s="2" t="s">
        <v>95</v>
      </c>
      <c r="G10" s="6">
        <v>507</v>
      </c>
      <c r="H10" s="2"/>
      <c r="I10" s="2"/>
      <c r="J10" s="2"/>
    </row>
    <row r="11" spans="1:10" x14ac:dyDescent="0.25">
      <c r="A11" s="2" t="s">
        <v>96</v>
      </c>
      <c r="B11" s="6">
        <v>170</v>
      </c>
      <c r="C11" s="2"/>
      <c r="D11" s="2"/>
      <c r="E11" s="2"/>
      <c r="F11" s="2" t="s">
        <v>96</v>
      </c>
      <c r="G11" s="6">
        <v>590</v>
      </c>
      <c r="H11" s="2"/>
      <c r="I11" s="2"/>
      <c r="J11" s="2"/>
    </row>
    <row r="12" spans="1:10" x14ac:dyDescent="0.25">
      <c r="A12" s="2" t="s">
        <v>97</v>
      </c>
      <c r="B12" s="6">
        <v>182</v>
      </c>
      <c r="C12" s="2"/>
      <c r="D12" s="2"/>
      <c r="E12" s="2"/>
      <c r="F12" s="2"/>
      <c r="G12" s="6"/>
      <c r="H12" s="2"/>
      <c r="I12" s="2"/>
      <c r="J12" s="2"/>
    </row>
    <row r="13" spans="1:10" x14ac:dyDescent="0.25">
      <c r="A13" s="2" t="s">
        <v>98</v>
      </c>
      <c r="B13" s="6">
        <v>90</v>
      </c>
      <c r="C13" s="2"/>
      <c r="D13" s="2"/>
      <c r="E13" s="2"/>
      <c r="F13" s="3"/>
      <c r="G13" s="6"/>
      <c r="H13" s="4"/>
      <c r="I13" s="2"/>
      <c r="J13" s="2"/>
    </row>
    <row r="14" spans="1:10" x14ac:dyDescent="0.25">
      <c r="A14" s="2"/>
      <c r="B14" s="6"/>
      <c r="C14" s="2"/>
      <c r="D14" s="2"/>
      <c r="E14" s="2"/>
      <c r="F14" s="3"/>
      <c r="G14" s="6"/>
      <c r="H14" s="4"/>
      <c r="I14" s="2"/>
      <c r="J14" s="3"/>
    </row>
    <row r="15" spans="1:10" x14ac:dyDescent="0.25">
      <c r="A15" s="2"/>
      <c r="B15" s="6"/>
      <c r="C15" s="2"/>
      <c r="D15" s="2"/>
      <c r="E15" s="2"/>
      <c r="F15" s="3"/>
      <c r="G15" s="6"/>
      <c r="H15" s="4"/>
      <c r="I15" s="2"/>
      <c r="J15" s="3"/>
    </row>
    <row r="16" spans="1:10" x14ac:dyDescent="0.25">
      <c r="A16" s="2"/>
      <c r="B16" s="6"/>
      <c r="C16" s="2"/>
      <c r="D16" s="2"/>
      <c r="E16" s="2"/>
      <c r="F16" s="3"/>
      <c r="G16" s="6"/>
      <c r="H16" s="4"/>
      <c r="I16" s="2"/>
      <c r="J16" s="3"/>
    </row>
    <row r="17" spans="1:11" x14ac:dyDescent="0.25">
      <c r="A17" s="2" t="s">
        <v>5</v>
      </c>
      <c r="B17" s="6">
        <v>12447.3</v>
      </c>
      <c r="C17" s="2"/>
      <c r="D17" s="2"/>
      <c r="E17" s="2"/>
      <c r="F17" s="2" t="s">
        <v>5</v>
      </c>
      <c r="G17" s="6">
        <v>180</v>
      </c>
      <c r="H17" s="2"/>
      <c r="I17" s="2"/>
      <c r="J17" s="2"/>
    </row>
    <row r="18" spans="1:11" x14ac:dyDescent="0.25">
      <c r="A18" s="5" t="s">
        <v>8</v>
      </c>
      <c r="B18" s="7">
        <f>B4+B17</f>
        <v>13341.359999999999</v>
      </c>
      <c r="C18" s="2"/>
      <c r="D18" s="2"/>
      <c r="E18" s="2"/>
      <c r="F18" s="5" t="s">
        <v>8</v>
      </c>
      <c r="G18" s="7">
        <f>G4+G14+G15+G16+G17</f>
        <v>6456.57</v>
      </c>
      <c r="H18" s="2"/>
      <c r="I18" s="2"/>
      <c r="J18" s="2"/>
      <c r="K18" s="18">
        <f>B18+G18</f>
        <v>19797.93</v>
      </c>
    </row>
    <row r="19" spans="1:11" x14ac:dyDescent="0.25">
      <c r="A19" s="2"/>
      <c r="B19" s="6"/>
      <c r="C19" s="2"/>
      <c r="D19" s="2"/>
      <c r="E19" s="2"/>
      <c r="F19" s="2"/>
      <c r="G19" s="2"/>
      <c r="H19" s="2"/>
      <c r="I19" s="2"/>
      <c r="J19" s="2"/>
    </row>
    <row r="20" spans="1:11" x14ac:dyDescent="0.25">
      <c r="A20" s="22" t="s">
        <v>3</v>
      </c>
      <c r="B20" s="23"/>
      <c r="C20" s="2"/>
      <c r="D20" s="2"/>
      <c r="E20" s="2"/>
      <c r="F20" s="2"/>
      <c r="G20" s="2"/>
      <c r="H20" s="2"/>
      <c r="I20" s="2"/>
      <c r="J20" s="2"/>
    </row>
    <row r="21" spans="1:11" ht="39.75" customHeight="1" x14ac:dyDescent="0.25">
      <c r="A21" s="5" t="s">
        <v>4</v>
      </c>
      <c r="B21" s="5" t="s">
        <v>2</v>
      </c>
      <c r="C21" s="5" t="s">
        <v>18</v>
      </c>
      <c r="D21" s="10" t="s">
        <v>19</v>
      </c>
      <c r="E21" s="5" t="s">
        <v>16</v>
      </c>
      <c r="F21" s="5" t="s">
        <v>4</v>
      </c>
      <c r="G21" s="5" t="s">
        <v>2</v>
      </c>
      <c r="H21" s="5" t="s">
        <v>18</v>
      </c>
      <c r="I21" s="10" t="s">
        <v>19</v>
      </c>
      <c r="J21" s="5" t="s">
        <v>16</v>
      </c>
    </row>
    <row r="22" spans="1:11" ht="30" x14ac:dyDescent="0.25">
      <c r="A22" s="2" t="s">
        <v>99</v>
      </c>
      <c r="B22" s="6">
        <v>42</v>
      </c>
      <c r="C22" s="4"/>
      <c r="D22" s="2"/>
      <c r="E22" s="2" t="s">
        <v>100</v>
      </c>
      <c r="F22" s="3" t="s">
        <v>101</v>
      </c>
      <c r="G22" s="6">
        <f>162+1400</f>
        <v>1562</v>
      </c>
      <c r="H22" s="4"/>
      <c r="I22" s="2"/>
      <c r="J22" s="2" t="s">
        <v>42</v>
      </c>
    </row>
    <row r="23" spans="1:11" ht="45" x14ac:dyDescent="0.25">
      <c r="A23" s="3" t="s">
        <v>102</v>
      </c>
      <c r="B23" s="6">
        <v>2544</v>
      </c>
      <c r="C23" s="4"/>
      <c r="D23" s="2"/>
      <c r="E23" s="2" t="s">
        <v>103</v>
      </c>
      <c r="F23" s="3" t="s">
        <v>104</v>
      </c>
      <c r="G23" s="6">
        <v>630</v>
      </c>
      <c r="H23" s="4"/>
      <c r="I23" s="2"/>
      <c r="J23" s="2" t="s">
        <v>93</v>
      </c>
    </row>
    <row r="24" spans="1:11" x14ac:dyDescent="0.25">
      <c r="A24" s="3" t="s">
        <v>105</v>
      </c>
      <c r="B24" s="6">
        <v>1101.5999999999999</v>
      </c>
      <c r="C24" s="4"/>
      <c r="D24" s="2"/>
      <c r="E24" s="2"/>
      <c r="F24" s="2" t="s">
        <v>106</v>
      </c>
      <c r="G24" s="6">
        <v>212.78</v>
      </c>
      <c r="H24" s="4">
        <v>43215</v>
      </c>
      <c r="I24" s="2"/>
      <c r="J24" s="2" t="s">
        <v>107</v>
      </c>
    </row>
    <row r="25" spans="1:11" ht="30" x14ac:dyDescent="0.25">
      <c r="A25" s="3" t="s">
        <v>108</v>
      </c>
      <c r="B25" s="6">
        <v>16</v>
      </c>
      <c r="C25" s="4"/>
      <c r="D25" s="2"/>
      <c r="E25" s="2" t="s">
        <v>109</v>
      </c>
      <c r="F25" s="3"/>
      <c r="G25" s="6"/>
      <c r="H25" s="4"/>
      <c r="J25" s="3"/>
    </row>
    <row r="26" spans="1:11" x14ac:dyDescent="0.25">
      <c r="A26" s="2" t="s">
        <v>9</v>
      </c>
      <c r="B26" s="6">
        <v>148.37</v>
      </c>
      <c r="C26" s="2"/>
      <c r="D26" s="2"/>
      <c r="F26" s="2" t="s">
        <v>9</v>
      </c>
      <c r="G26" s="6">
        <v>4</v>
      </c>
      <c r="H26" s="2"/>
      <c r="I26" s="2"/>
      <c r="J26" s="2"/>
    </row>
    <row r="27" spans="1:11" x14ac:dyDescent="0.25">
      <c r="A27" s="2" t="s">
        <v>10</v>
      </c>
      <c r="B27" s="6">
        <v>1269.8399999999999</v>
      </c>
      <c r="C27" s="2"/>
      <c r="D27" s="2"/>
      <c r="E27" s="2"/>
      <c r="F27" s="3" t="s">
        <v>110</v>
      </c>
      <c r="G27" s="6">
        <f>734.4+788.2+1851.2+324.28+220</f>
        <v>3918.08</v>
      </c>
      <c r="H27" s="2"/>
      <c r="I27" s="2"/>
      <c r="J27" s="2" t="s">
        <v>111</v>
      </c>
    </row>
    <row r="28" spans="1:11" ht="30" x14ac:dyDescent="0.25">
      <c r="A28" s="2" t="s">
        <v>112</v>
      </c>
      <c r="B28" s="6">
        <f>1930.18+25</f>
        <v>1955.18</v>
      </c>
      <c r="C28" s="2"/>
      <c r="D28" s="2"/>
      <c r="E28" s="2" t="s">
        <v>113</v>
      </c>
      <c r="F28" s="3" t="s">
        <v>114</v>
      </c>
      <c r="G28" s="6">
        <v>310</v>
      </c>
      <c r="H28" s="2"/>
      <c r="I28" s="2"/>
      <c r="J28" s="2" t="s">
        <v>115</v>
      </c>
    </row>
    <row r="29" spans="1:11" ht="30" x14ac:dyDescent="0.25">
      <c r="A29" s="2" t="s">
        <v>116</v>
      </c>
      <c r="B29" s="6">
        <v>545</v>
      </c>
      <c r="C29" s="2"/>
      <c r="D29" s="2"/>
      <c r="E29" s="2" t="s">
        <v>59</v>
      </c>
      <c r="F29" s="3" t="s">
        <v>117</v>
      </c>
      <c r="G29" s="6">
        <v>251.42</v>
      </c>
      <c r="H29" s="2"/>
      <c r="I29" s="2"/>
      <c r="J29" s="3" t="s">
        <v>118</v>
      </c>
    </row>
    <row r="30" spans="1:11" x14ac:dyDescent="0.25">
      <c r="A30" s="2" t="s">
        <v>119</v>
      </c>
      <c r="B30" s="6">
        <v>19.440000000000001</v>
      </c>
      <c r="C30" s="2"/>
      <c r="D30" s="2"/>
      <c r="E30" s="2"/>
      <c r="F30" s="2" t="s">
        <v>120</v>
      </c>
      <c r="G30" s="6">
        <v>516.07000000000005</v>
      </c>
      <c r="H30" s="4">
        <v>43216</v>
      </c>
      <c r="I30" s="2"/>
      <c r="J30" s="2" t="s">
        <v>107</v>
      </c>
    </row>
    <row r="31" spans="1:11" x14ac:dyDescent="0.25">
      <c r="A31" s="2" t="s">
        <v>121</v>
      </c>
      <c r="B31" s="6">
        <v>46</v>
      </c>
      <c r="C31" s="2"/>
      <c r="D31" s="2"/>
      <c r="E31" s="2"/>
      <c r="F31" s="2"/>
      <c r="G31" s="6"/>
      <c r="H31" s="2"/>
      <c r="I31" s="2"/>
      <c r="J31" s="2"/>
    </row>
    <row r="32" spans="1:11" ht="39.75" customHeight="1" x14ac:dyDescent="0.25">
      <c r="A32" s="3" t="s">
        <v>122</v>
      </c>
      <c r="B32" s="6">
        <v>975</v>
      </c>
      <c r="C32" s="2"/>
      <c r="D32" s="2"/>
      <c r="E32" s="2" t="s">
        <v>123</v>
      </c>
      <c r="F32" s="2"/>
      <c r="G32" s="6"/>
      <c r="H32" s="4"/>
      <c r="I32" s="2"/>
      <c r="J32" s="2"/>
    </row>
    <row r="33" spans="1:11" ht="32.25" customHeight="1" x14ac:dyDescent="0.25">
      <c r="A33" s="2" t="s">
        <v>124</v>
      </c>
      <c r="B33" s="6">
        <v>160</v>
      </c>
      <c r="C33" s="4"/>
      <c r="D33" s="2"/>
      <c r="E33" s="3" t="s">
        <v>125</v>
      </c>
      <c r="F33" s="2"/>
      <c r="G33" s="6"/>
      <c r="H33" s="4"/>
      <c r="I33" s="2"/>
      <c r="J33" s="2"/>
    </row>
    <row r="34" spans="1:11" ht="32.25" customHeight="1" x14ac:dyDescent="0.25">
      <c r="A34" s="2" t="s">
        <v>81</v>
      </c>
      <c r="B34" s="6">
        <v>386.64</v>
      </c>
      <c r="C34" s="4">
        <v>43236</v>
      </c>
      <c r="D34" s="2"/>
      <c r="E34" s="3" t="s">
        <v>126</v>
      </c>
      <c r="F34" s="2"/>
      <c r="G34" s="6"/>
      <c r="H34" s="4"/>
      <c r="I34" s="2"/>
      <c r="J34" s="2"/>
    </row>
    <row r="35" spans="1:11" x14ac:dyDescent="0.25">
      <c r="A35" s="2" t="s">
        <v>11</v>
      </c>
      <c r="B35" s="6">
        <v>2415.77</v>
      </c>
      <c r="C35" s="4"/>
      <c r="D35" s="2"/>
      <c r="E35" s="2"/>
      <c r="F35" s="2"/>
      <c r="G35" s="2"/>
      <c r="H35" s="2"/>
      <c r="I35" s="2"/>
      <c r="J35" s="2"/>
    </row>
    <row r="36" spans="1:11" x14ac:dyDescent="0.25">
      <c r="A36" s="5" t="s">
        <v>8</v>
      </c>
      <c r="B36" s="7">
        <f>SUM(B22:B35)</f>
        <v>11624.84</v>
      </c>
      <c r="C36" s="2"/>
      <c r="D36" s="2"/>
      <c r="E36" s="2"/>
      <c r="F36" s="5" t="s">
        <v>8</v>
      </c>
      <c r="G36" s="7">
        <f>SUM(G22:G35)</f>
        <v>7404.35</v>
      </c>
      <c r="H36" s="2"/>
      <c r="I36" s="2"/>
      <c r="J36" s="2"/>
      <c r="K36" s="18">
        <f>B36+G36</f>
        <v>19029.190000000002</v>
      </c>
    </row>
    <row r="37" spans="1:11" x14ac:dyDescent="0.25">
      <c r="C37" s="8" t="s">
        <v>23</v>
      </c>
      <c r="D37" s="12">
        <f>D1+B18-B36</f>
        <v>6253.32</v>
      </c>
      <c r="H37" s="8" t="s">
        <v>23</v>
      </c>
      <c r="I37" s="12">
        <f>I1+G18-G36</f>
        <v>563.51999999999953</v>
      </c>
    </row>
    <row r="39" spans="1:11" x14ac:dyDescent="0.25">
      <c r="A39" s="5" t="s">
        <v>77</v>
      </c>
      <c r="B39" s="19" t="s">
        <v>87</v>
      </c>
      <c r="C39" s="19" t="s">
        <v>88</v>
      </c>
    </row>
    <row r="40" spans="1:11" ht="16.5" customHeight="1" x14ac:dyDescent="0.25">
      <c r="A40" s="5" t="s">
        <v>0</v>
      </c>
      <c r="B40" s="7">
        <f>B41+B42+B43+B44+B45</f>
        <v>19797.93</v>
      </c>
      <c r="C40" s="21">
        <v>1</v>
      </c>
    </row>
    <row r="41" spans="1:11" x14ac:dyDescent="0.25">
      <c r="A41" s="2" t="s">
        <v>78</v>
      </c>
      <c r="B41" s="6">
        <f>B17+G17</f>
        <v>12627.3</v>
      </c>
      <c r="C41" s="20">
        <f>B41/B40</f>
        <v>0.63780910428514492</v>
      </c>
    </row>
    <row r="42" spans="1:11" x14ac:dyDescent="0.25">
      <c r="A42" s="2" t="s">
        <v>79</v>
      </c>
      <c r="B42" s="6">
        <f>B4+G4</f>
        <v>7170.6299999999992</v>
      </c>
      <c r="C42" s="20">
        <f>B42/B40</f>
        <v>0.36219089571485497</v>
      </c>
    </row>
    <row r="43" spans="1:11" x14ac:dyDescent="0.25">
      <c r="A43" s="2" t="s">
        <v>81</v>
      </c>
      <c r="B43" s="6"/>
      <c r="C43" s="20">
        <f>B43/B40</f>
        <v>0</v>
      </c>
    </row>
    <row r="44" spans="1:11" x14ac:dyDescent="0.25">
      <c r="A44" s="2" t="s">
        <v>50</v>
      </c>
      <c r="B44" s="6"/>
      <c r="C44" s="20">
        <f>B44/B40</f>
        <v>0</v>
      </c>
    </row>
    <row r="45" spans="1:11" x14ac:dyDescent="0.25">
      <c r="A45" s="2" t="s">
        <v>80</v>
      </c>
      <c r="B45" s="6"/>
      <c r="C45" s="20">
        <f>B45/B40</f>
        <v>0</v>
      </c>
    </row>
    <row r="46" spans="1:11" x14ac:dyDescent="0.25">
      <c r="A46" s="5" t="s">
        <v>77</v>
      </c>
      <c r="B46" s="19" t="s">
        <v>87</v>
      </c>
      <c r="C46" s="19" t="s">
        <v>88</v>
      </c>
    </row>
    <row r="47" spans="1:11" x14ac:dyDescent="0.25">
      <c r="A47" s="5" t="s">
        <v>3</v>
      </c>
      <c r="B47" s="7">
        <f>B48+B49+B50+B52+B51</f>
        <v>19029.189999999995</v>
      </c>
      <c r="C47" s="21">
        <v>1</v>
      </c>
    </row>
    <row r="48" spans="1:11" x14ac:dyDescent="0.25">
      <c r="A48" s="3" t="s">
        <v>127</v>
      </c>
      <c r="B48" s="6">
        <f>B35</f>
        <v>2415.77</v>
      </c>
      <c r="C48" s="20">
        <f>B48/B47</f>
        <v>0.12695075302732278</v>
      </c>
    </row>
    <row r="49" spans="1:3" ht="45" x14ac:dyDescent="0.25">
      <c r="A49" s="3" t="s">
        <v>128</v>
      </c>
      <c r="B49" s="6">
        <f>B22+B24+B27+B32+B33+B34+G22+G23+G24+G27+G28+G29+G30+B23</f>
        <v>13879.429999999998</v>
      </c>
      <c r="C49" s="20">
        <f>B49/B47</f>
        <v>0.72937576428634121</v>
      </c>
    </row>
    <row r="50" spans="1:3" x14ac:dyDescent="0.25">
      <c r="A50" s="2" t="s">
        <v>83</v>
      </c>
      <c r="B50" s="6">
        <f>B28+B29</f>
        <v>2500.1800000000003</v>
      </c>
      <c r="C50" s="20">
        <f>B50/B47</f>
        <v>0.13138656979093702</v>
      </c>
    </row>
    <row r="51" spans="1:3" x14ac:dyDescent="0.25">
      <c r="A51" s="2" t="s">
        <v>86</v>
      </c>
      <c r="B51" s="6">
        <f>B26+G26</f>
        <v>152.37</v>
      </c>
      <c r="C51" s="20">
        <f>B51/B47</f>
        <v>8.0071721392240055E-3</v>
      </c>
    </row>
    <row r="52" spans="1:3" x14ac:dyDescent="0.25">
      <c r="A52" s="2" t="s">
        <v>84</v>
      </c>
      <c r="B52" s="6">
        <f>B25+B30+B31</f>
        <v>81.44</v>
      </c>
      <c r="C52" s="20">
        <f>B52/B47</f>
        <v>4.2797407561751197E-3</v>
      </c>
    </row>
  </sheetData>
  <mergeCells count="3">
    <mergeCell ref="A2:B2"/>
    <mergeCell ref="F2:G2"/>
    <mergeCell ref="A20:B20"/>
  </mergeCells>
  <pageMargins left="0.7" right="0.7" top="0.75" bottom="0.75" header="0.3" footer="0.3"/>
  <pageSetup paperSize="9" scale="5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opLeftCell="A16" zoomScale="82" zoomScaleNormal="82" workbookViewId="0">
      <selection activeCell="A16" sqref="A1:XFD1048576"/>
    </sheetView>
  </sheetViews>
  <sheetFormatPr defaultRowHeight="15" x14ac:dyDescent="0.25"/>
  <cols>
    <col min="1" max="1" width="33.85546875" customWidth="1"/>
    <col min="2" max="2" width="16" customWidth="1"/>
    <col min="3" max="3" width="11.42578125" customWidth="1"/>
    <col min="4" max="4" width="11.5703125" customWidth="1"/>
    <col min="5" max="5" width="50.5703125" customWidth="1"/>
    <col min="6" max="6" width="25.140625" customWidth="1"/>
    <col min="7" max="7" width="15.28515625" customWidth="1"/>
    <col min="8" max="8" width="12.85546875" customWidth="1"/>
    <col min="9" max="9" width="12.28515625" customWidth="1"/>
    <col min="10" max="10" width="22.140625" customWidth="1"/>
    <col min="11" max="11" width="11" customWidth="1"/>
  </cols>
  <sheetData>
    <row r="1" spans="1:10" x14ac:dyDescent="0.25">
      <c r="A1" s="8" t="s">
        <v>15</v>
      </c>
      <c r="C1" s="8" t="s">
        <v>22</v>
      </c>
      <c r="D1" s="12">
        <v>6253.32</v>
      </c>
      <c r="E1" s="8" t="s">
        <v>129</v>
      </c>
      <c r="F1" s="9" t="s">
        <v>17</v>
      </c>
      <c r="H1" s="8" t="s">
        <v>22</v>
      </c>
      <c r="I1" s="8">
        <v>563.52</v>
      </c>
      <c r="J1" s="8" t="s">
        <v>129</v>
      </c>
    </row>
    <row r="2" spans="1:10" x14ac:dyDescent="0.25">
      <c r="A2" s="22" t="s">
        <v>0</v>
      </c>
      <c r="B2" s="23"/>
      <c r="C2" s="2"/>
      <c r="D2" s="2"/>
      <c r="E2" s="2"/>
      <c r="F2" s="22" t="s">
        <v>0</v>
      </c>
      <c r="G2" s="23"/>
      <c r="H2" s="2"/>
      <c r="I2" s="2"/>
      <c r="J2" s="2"/>
    </row>
    <row r="3" spans="1:10" x14ac:dyDescent="0.25">
      <c r="A3" s="5" t="s">
        <v>1</v>
      </c>
      <c r="B3" s="5" t="s">
        <v>2</v>
      </c>
      <c r="C3" s="2"/>
      <c r="D3" s="2"/>
      <c r="E3" s="5" t="s">
        <v>16</v>
      </c>
      <c r="F3" s="5" t="s">
        <v>1</v>
      </c>
      <c r="G3" s="5" t="s">
        <v>2</v>
      </c>
      <c r="H3" s="2"/>
      <c r="I3" s="2"/>
      <c r="J3" s="5" t="s">
        <v>16</v>
      </c>
    </row>
    <row r="4" spans="1:10" x14ac:dyDescent="0.25">
      <c r="A4" s="2" t="s">
        <v>12</v>
      </c>
      <c r="B4" s="6">
        <f>B5+B7+B9+B13+B14+B15+B16</f>
        <v>2529.48</v>
      </c>
      <c r="C4" s="2"/>
      <c r="D4" s="2"/>
      <c r="E4" s="2"/>
      <c r="F4" s="2" t="s">
        <v>12</v>
      </c>
      <c r="G4" s="6">
        <f>G5+G6+G7+G8+G9+G10+G11+G12+G13+G14+G16+G17</f>
        <v>7323.46</v>
      </c>
      <c r="H4" s="2"/>
      <c r="I4" s="2"/>
      <c r="J4" s="2"/>
    </row>
    <row r="5" spans="1:10" x14ac:dyDescent="0.25">
      <c r="A5" s="2" t="s">
        <v>13</v>
      </c>
      <c r="B5" s="6">
        <f>24.5+225+29.4+65.17+49+213+53.9+39+0.01</f>
        <v>698.9799999999999</v>
      </c>
      <c r="C5" s="2"/>
      <c r="D5" s="2"/>
      <c r="E5" s="2"/>
      <c r="F5" s="2" t="s">
        <v>13</v>
      </c>
      <c r="G5" s="6">
        <f>4.9+11.76+460+39.2+13.72+9.8+19.6+49+25.48+19.6+30+24+33+64.68+30+33+30.19+0.01+30+10+125+25.5+72+16+78+24+0.6</f>
        <v>1279.04</v>
      </c>
      <c r="H5" s="2"/>
      <c r="I5" s="2"/>
      <c r="J5" s="2"/>
    </row>
    <row r="6" spans="1:10" x14ac:dyDescent="0.25">
      <c r="A6" s="2"/>
      <c r="B6" s="6"/>
      <c r="C6" s="2"/>
      <c r="D6" s="2"/>
      <c r="E6" s="2"/>
      <c r="F6" s="2" t="s">
        <v>130</v>
      </c>
      <c r="G6" s="6">
        <f>240+51</f>
        <v>291</v>
      </c>
      <c r="H6" s="2"/>
      <c r="I6" s="2"/>
      <c r="J6" s="2"/>
    </row>
    <row r="7" spans="1:10" x14ac:dyDescent="0.25">
      <c r="A7" s="2" t="s">
        <v>131</v>
      </c>
      <c r="B7" s="6">
        <v>463</v>
      </c>
      <c r="C7" s="2"/>
      <c r="D7" s="2"/>
      <c r="E7" s="2"/>
      <c r="F7" s="2" t="s">
        <v>131</v>
      </c>
      <c r="G7" s="6">
        <f>30+27.5+43</f>
        <v>100.5</v>
      </c>
      <c r="H7" s="2"/>
      <c r="I7" s="2"/>
      <c r="J7" s="2"/>
    </row>
    <row r="8" spans="1:10" x14ac:dyDescent="0.25">
      <c r="A8" s="2"/>
      <c r="B8" s="6"/>
      <c r="C8" s="2"/>
      <c r="D8" s="2"/>
      <c r="E8" s="2"/>
      <c r="F8" s="2" t="s">
        <v>132</v>
      </c>
      <c r="G8" s="6">
        <f>5.88+5.88</f>
        <v>11.76</v>
      </c>
      <c r="H8" s="2"/>
      <c r="I8" s="2"/>
      <c r="J8" s="2"/>
    </row>
    <row r="9" spans="1:10" x14ac:dyDescent="0.25">
      <c r="A9" s="2" t="s">
        <v>14</v>
      </c>
      <c r="B9" s="6">
        <v>40</v>
      </c>
      <c r="C9" s="2"/>
      <c r="D9" s="2"/>
      <c r="E9" s="2"/>
      <c r="F9" s="2" t="s">
        <v>14</v>
      </c>
      <c r="G9" s="6">
        <f>24+40+81+15+20+12+20+12</f>
        <v>224</v>
      </c>
      <c r="H9" s="2"/>
      <c r="I9" s="2"/>
      <c r="J9" s="2"/>
    </row>
    <row r="10" spans="1:10" x14ac:dyDescent="0.25">
      <c r="A10" s="2"/>
      <c r="B10" s="6"/>
      <c r="C10" s="2"/>
      <c r="D10" s="2"/>
      <c r="E10" s="2"/>
      <c r="F10" s="2" t="s">
        <v>133</v>
      </c>
      <c r="G10" s="6">
        <f>130+35</f>
        <v>165</v>
      </c>
      <c r="H10" s="2"/>
      <c r="I10" s="2"/>
      <c r="J10" s="2"/>
    </row>
    <row r="11" spans="1:10" x14ac:dyDescent="0.25">
      <c r="A11" s="2"/>
      <c r="B11" s="6"/>
      <c r="C11" s="2"/>
      <c r="D11" s="2"/>
      <c r="E11" s="2"/>
      <c r="F11" s="2" t="s">
        <v>134</v>
      </c>
      <c r="G11" s="6">
        <v>40.5</v>
      </c>
      <c r="H11" s="2"/>
      <c r="I11" s="2"/>
      <c r="J11" s="2"/>
    </row>
    <row r="12" spans="1:10" ht="30" x14ac:dyDescent="0.25">
      <c r="A12" s="2"/>
      <c r="B12" s="6"/>
      <c r="C12" s="2"/>
      <c r="D12" s="2"/>
      <c r="E12" s="2"/>
      <c r="F12" s="15" t="s">
        <v>135</v>
      </c>
      <c r="G12" s="13">
        <v>2000.16</v>
      </c>
      <c r="H12" s="15"/>
      <c r="I12" s="15"/>
      <c r="J12" s="11" t="s">
        <v>136</v>
      </c>
    </row>
    <row r="13" spans="1:10" x14ac:dyDescent="0.25">
      <c r="A13" s="2" t="s">
        <v>137</v>
      </c>
      <c r="B13" s="6">
        <f>579.5+180</f>
        <v>759.5</v>
      </c>
      <c r="C13" s="2"/>
      <c r="D13" s="2"/>
      <c r="E13" s="2"/>
      <c r="F13" s="2" t="s">
        <v>137</v>
      </c>
      <c r="G13" s="6">
        <f>390+379.5+36+78+30</f>
        <v>913.5</v>
      </c>
      <c r="H13" s="2"/>
      <c r="I13" s="2"/>
      <c r="J13" s="2"/>
    </row>
    <row r="14" spans="1:10" x14ac:dyDescent="0.25">
      <c r="A14" s="2" t="s">
        <v>138</v>
      </c>
      <c r="B14" s="6">
        <f>160+102</f>
        <v>262</v>
      </c>
      <c r="C14" s="2"/>
      <c r="D14" s="2"/>
      <c r="E14" s="2"/>
      <c r="F14" s="2" t="s">
        <v>138</v>
      </c>
      <c r="G14" s="6">
        <f>190+18+18</f>
        <v>226</v>
      </c>
      <c r="H14" s="2"/>
      <c r="I14" s="2"/>
      <c r="J14" s="2"/>
    </row>
    <row r="15" spans="1:10" x14ac:dyDescent="0.25">
      <c r="A15" s="2" t="s">
        <v>139</v>
      </c>
      <c r="B15" s="6">
        <v>210</v>
      </c>
      <c r="C15" s="2"/>
      <c r="D15" s="2"/>
      <c r="E15" s="2"/>
      <c r="F15" s="2" t="s">
        <v>139</v>
      </c>
      <c r="G15" s="6"/>
      <c r="H15" s="2"/>
      <c r="I15" s="2"/>
      <c r="J15" s="2"/>
    </row>
    <row r="16" spans="1:10" x14ac:dyDescent="0.25">
      <c r="A16" s="2" t="s">
        <v>140</v>
      </c>
      <c r="B16" s="6">
        <v>96</v>
      </c>
      <c r="C16" s="2"/>
      <c r="D16" s="2"/>
      <c r="E16" s="2"/>
      <c r="F16" s="2" t="s">
        <v>140</v>
      </c>
      <c r="G16" s="6">
        <f>28+20+24</f>
        <v>72</v>
      </c>
      <c r="H16" s="2"/>
      <c r="I16" s="2"/>
      <c r="J16" s="2"/>
    </row>
    <row r="17" spans="1:11" ht="30" x14ac:dyDescent="0.25">
      <c r="A17" s="2"/>
      <c r="B17" s="6"/>
      <c r="C17" s="2"/>
      <c r="D17" s="2"/>
      <c r="E17" s="2"/>
      <c r="F17" s="11" t="s">
        <v>141</v>
      </c>
      <c r="G17" s="13">
        <v>2000</v>
      </c>
      <c r="H17" s="14">
        <v>43755</v>
      </c>
      <c r="I17" s="15"/>
      <c r="J17" s="15" t="s">
        <v>142</v>
      </c>
    </row>
    <row r="18" spans="1:11" ht="30" x14ac:dyDescent="0.25">
      <c r="A18" s="2"/>
      <c r="B18" s="6"/>
      <c r="C18" s="2"/>
      <c r="D18" s="2"/>
      <c r="E18" s="2"/>
      <c r="F18" s="11" t="s">
        <v>143</v>
      </c>
      <c r="G18" s="13">
        <v>2500</v>
      </c>
      <c r="H18" s="14">
        <v>43707</v>
      </c>
      <c r="I18" s="15"/>
      <c r="J18" s="11" t="s">
        <v>144</v>
      </c>
    </row>
    <row r="19" spans="1:11" ht="45" x14ac:dyDescent="0.25">
      <c r="A19" s="2"/>
      <c r="B19" s="6"/>
      <c r="C19" s="2"/>
      <c r="D19" s="2"/>
      <c r="E19" s="2"/>
      <c r="F19" s="3" t="s">
        <v>20</v>
      </c>
      <c r="G19" s="6">
        <v>21</v>
      </c>
      <c r="H19" s="4"/>
      <c r="I19" s="2"/>
      <c r="J19" s="3"/>
    </row>
    <row r="20" spans="1:11" ht="30" x14ac:dyDescent="0.25">
      <c r="A20" s="2"/>
      <c r="B20" s="6"/>
      <c r="C20" s="2"/>
      <c r="D20" s="2"/>
      <c r="E20" s="2"/>
      <c r="F20" s="3" t="s">
        <v>67</v>
      </c>
      <c r="G20" s="6">
        <v>8099.18</v>
      </c>
      <c r="H20" s="4">
        <v>43642</v>
      </c>
      <c r="I20" s="2"/>
      <c r="J20" s="3" t="s">
        <v>164</v>
      </c>
    </row>
    <row r="21" spans="1:11" x14ac:dyDescent="0.25">
      <c r="A21" s="2" t="s">
        <v>5</v>
      </c>
      <c r="B21" s="6">
        <f>45+17.5+185+338+105+35+70+70+35+50+35+312.5+70+7.5+35+35+15+35+15+35+15+15+35+85+92.5+35+35+35+35+547.5+70+35+70+35+100+35+70+35*5+175+382.5+70+35*3+70+35*2+15+20+105+70*2+35+155+35*2+15+35*2+50+35+70+35*3+120+155+35+177.5+237.5+35+140+15+35*6+50+35*2+5+120+15+35*3+70*2+35+105+15+7.5+50+35*3+135+100+35+485+15*2+802.5+35*2+7.5+50+7.5+35*3+410+35*2+70+7.5+35+15*3+7.5*2+15+140+700+42.5+230+15+510+35+15+65+35+70+35*2+85+30+35*2+15+35*2+105+35+85+35*5+70+30+15+35+35+52.5+11.25</f>
        <v>12111.75</v>
      </c>
      <c r="C21" s="2"/>
      <c r="D21" s="2"/>
      <c r="E21" s="2"/>
      <c r="F21" s="2" t="s">
        <v>5</v>
      </c>
      <c r="G21" s="6">
        <f>100+15+35</f>
        <v>150</v>
      </c>
      <c r="H21" s="2"/>
      <c r="I21" s="2"/>
      <c r="J21" s="2"/>
    </row>
    <row r="22" spans="1:11" x14ac:dyDescent="0.25">
      <c r="A22" s="5" t="s">
        <v>8</v>
      </c>
      <c r="B22" s="7">
        <f>B4+B21</f>
        <v>14641.23</v>
      </c>
      <c r="C22" s="2"/>
      <c r="D22" s="2"/>
      <c r="E22" s="2"/>
      <c r="F22" s="5" t="s">
        <v>8</v>
      </c>
      <c r="G22" s="7">
        <f>G4+G18+G19+G20+G21</f>
        <v>18093.64</v>
      </c>
      <c r="H22" s="2"/>
      <c r="I22" s="2"/>
      <c r="J22" s="2"/>
      <c r="K22" s="18">
        <f>B22+G22</f>
        <v>32734.87</v>
      </c>
    </row>
    <row r="23" spans="1:11" x14ac:dyDescent="0.25">
      <c r="A23" s="2"/>
      <c r="B23" s="6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22" t="s">
        <v>3</v>
      </c>
      <c r="B24" s="23"/>
      <c r="C24" s="2"/>
      <c r="D24" s="2"/>
      <c r="E24" s="2"/>
      <c r="F24" s="2"/>
      <c r="G24" s="2"/>
      <c r="H24" s="2"/>
      <c r="I24" s="2"/>
      <c r="J24" s="2"/>
    </row>
    <row r="25" spans="1:11" ht="39.75" customHeight="1" x14ac:dyDescent="0.25">
      <c r="A25" s="5" t="s">
        <v>4</v>
      </c>
      <c r="B25" s="5" t="s">
        <v>2</v>
      </c>
      <c r="C25" s="5" t="s">
        <v>18</v>
      </c>
      <c r="D25" s="10" t="s">
        <v>19</v>
      </c>
      <c r="E25" s="5" t="s">
        <v>16</v>
      </c>
      <c r="F25" s="5" t="s">
        <v>4</v>
      </c>
      <c r="G25" s="5" t="s">
        <v>2</v>
      </c>
      <c r="H25" s="5" t="s">
        <v>18</v>
      </c>
      <c r="I25" s="10" t="s">
        <v>19</v>
      </c>
      <c r="J25" s="5" t="s">
        <v>16</v>
      </c>
    </row>
    <row r="26" spans="1:11" ht="30" x14ac:dyDescent="0.25">
      <c r="A26" s="15" t="s">
        <v>145</v>
      </c>
      <c r="B26" s="13">
        <v>300</v>
      </c>
      <c r="C26" s="14">
        <v>43479</v>
      </c>
      <c r="D26" s="2"/>
      <c r="E26" s="3" t="s">
        <v>165</v>
      </c>
      <c r="F26" s="3" t="s">
        <v>101</v>
      </c>
      <c r="G26" s="6">
        <v>764</v>
      </c>
      <c r="H26" s="4">
        <v>43727</v>
      </c>
      <c r="I26" s="2"/>
      <c r="J26" s="2" t="s">
        <v>146</v>
      </c>
    </row>
    <row r="27" spans="1:11" ht="45" x14ac:dyDescent="0.25">
      <c r="A27" s="3" t="s">
        <v>147</v>
      </c>
      <c r="B27" s="6">
        <v>1485</v>
      </c>
      <c r="C27" s="4">
        <v>43605</v>
      </c>
      <c r="D27" s="2"/>
      <c r="E27" s="2" t="s">
        <v>148</v>
      </c>
      <c r="F27" s="11" t="s">
        <v>149</v>
      </c>
      <c r="G27" s="13">
        <v>500</v>
      </c>
      <c r="H27" s="14">
        <v>43727</v>
      </c>
      <c r="I27" s="2"/>
      <c r="J27" s="3" t="s">
        <v>166</v>
      </c>
    </row>
    <row r="28" spans="1:11" x14ac:dyDescent="0.25">
      <c r="A28" s="11" t="s">
        <v>150</v>
      </c>
      <c r="B28" s="13">
        <v>1020</v>
      </c>
      <c r="C28" s="14">
        <v>43677</v>
      </c>
      <c r="D28" s="2"/>
      <c r="E28" s="2" t="s">
        <v>151</v>
      </c>
      <c r="F28" s="2" t="s">
        <v>106</v>
      </c>
      <c r="G28" s="6">
        <v>612.96</v>
      </c>
      <c r="H28" s="4">
        <v>43614</v>
      </c>
      <c r="I28" s="2"/>
      <c r="J28" s="2" t="s">
        <v>152</v>
      </c>
    </row>
    <row r="29" spans="1:11" ht="30" x14ac:dyDescent="0.25">
      <c r="A29" s="3" t="s">
        <v>108</v>
      </c>
      <c r="B29" s="6">
        <v>16</v>
      </c>
      <c r="C29" s="4">
        <v>43718</v>
      </c>
      <c r="D29" s="2"/>
      <c r="E29" s="2" t="s">
        <v>153</v>
      </c>
      <c r="F29" s="3" t="s">
        <v>154</v>
      </c>
      <c r="G29" s="6">
        <v>45</v>
      </c>
      <c r="H29" s="4">
        <v>43589</v>
      </c>
      <c r="J29" s="3" t="s">
        <v>155</v>
      </c>
    </row>
    <row r="30" spans="1:11" x14ac:dyDescent="0.25">
      <c r="A30" s="2" t="s">
        <v>9</v>
      </c>
      <c r="B30" s="6">
        <f>6+2+6+2+2+2+4+2*2+75+2*2+4+75+2+75+2*2+2+2.5+7.5+5</f>
        <v>284</v>
      </c>
      <c r="C30" s="2"/>
      <c r="D30" s="2"/>
      <c r="F30" s="2"/>
      <c r="G30" s="6"/>
      <c r="H30" s="2"/>
      <c r="I30" s="2"/>
      <c r="J30" s="2"/>
    </row>
    <row r="31" spans="1:11" ht="30" x14ac:dyDescent="0.25">
      <c r="A31" s="2" t="s">
        <v>10</v>
      </c>
      <c r="B31" s="6">
        <f>144+43.2+286.56+232.92+69+119.4+97.8</f>
        <v>992.87999999999988</v>
      </c>
      <c r="C31" s="2"/>
      <c r="D31" s="2"/>
      <c r="E31" s="2" t="s">
        <v>156</v>
      </c>
      <c r="F31" s="3" t="s">
        <v>157</v>
      </c>
      <c r="G31" s="6">
        <f>786.1+2288+54.6</f>
        <v>3128.7</v>
      </c>
      <c r="H31" s="2"/>
      <c r="I31" s="2"/>
      <c r="J31" s="2" t="s">
        <v>37</v>
      </c>
    </row>
    <row r="32" spans="1:11" x14ac:dyDescent="0.25">
      <c r="A32" s="2" t="s">
        <v>119</v>
      </c>
      <c r="B32" s="6">
        <v>10.08</v>
      </c>
      <c r="C32" s="2"/>
      <c r="D32" s="2"/>
      <c r="E32" s="2"/>
      <c r="F32" s="2"/>
      <c r="G32" s="6"/>
      <c r="H32" s="2"/>
      <c r="I32" s="2"/>
      <c r="J32" s="2"/>
    </row>
    <row r="33" spans="1:11" ht="39.75" customHeight="1" x14ac:dyDescent="0.25">
      <c r="A33" s="3" t="s">
        <v>158</v>
      </c>
      <c r="B33" s="6">
        <v>21</v>
      </c>
      <c r="C33" s="2"/>
      <c r="D33" s="2"/>
      <c r="E33" s="2"/>
      <c r="F33" s="2" t="s">
        <v>159</v>
      </c>
      <c r="G33" s="6">
        <v>26</v>
      </c>
      <c r="H33" s="4">
        <v>43504</v>
      </c>
      <c r="I33" s="2"/>
      <c r="J33" s="2" t="s">
        <v>160</v>
      </c>
    </row>
    <row r="34" spans="1:11" ht="32.25" customHeight="1" x14ac:dyDescent="0.25">
      <c r="A34" s="2" t="s">
        <v>11</v>
      </c>
      <c r="B34" s="6">
        <v>4152.49</v>
      </c>
      <c r="C34" s="4">
        <v>43679</v>
      </c>
      <c r="D34" s="2">
        <v>1807</v>
      </c>
      <c r="E34" s="3" t="s">
        <v>167</v>
      </c>
      <c r="F34" s="2" t="s">
        <v>11</v>
      </c>
      <c r="G34" s="6">
        <v>7916.71</v>
      </c>
      <c r="H34" s="4">
        <v>43650</v>
      </c>
      <c r="I34" s="2">
        <v>3407.5</v>
      </c>
      <c r="J34" s="2" t="s">
        <v>161</v>
      </c>
    </row>
    <row r="35" spans="1:11" x14ac:dyDescent="0.25">
      <c r="A35" s="2" t="s">
        <v>11</v>
      </c>
      <c r="B35" s="6">
        <v>3778.57</v>
      </c>
      <c r="C35" s="4">
        <v>43690</v>
      </c>
      <c r="D35" s="2">
        <v>1645</v>
      </c>
      <c r="E35" s="2" t="s">
        <v>168</v>
      </c>
      <c r="F35" s="2"/>
      <c r="G35" s="2"/>
      <c r="H35" s="2"/>
      <c r="I35" s="2"/>
      <c r="J35" s="2"/>
    </row>
    <row r="36" spans="1:11" x14ac:dyDescent="0.25">
      <c r="A36" s="2" t="s">
        <v>162</v>
      </c>
      <c r="B36" s="6">
        <v>50</v>
      </c>
      <c r="C36" s="2"/>
      <c r="D36" s="2"/>
      <c r="E36" s="2"/>
      <c r="F36" s="2"/>
      <c r="G36" s="6"/>
      <c r="H36" s="2"/>
      <c r="I36" s="2"/>
      <c r="J36" s="2"/>
    </row>
    <row r="37" spans="1:11" x14ac:dyDescent="0.25">
      <c r="A37" s="5" t="s">
        <v>8</v>
      </c>
      <c r="B37" s="7">
        <f>SUM(B26:B36)</f>
        <v>12110.02</v>
      </c>
      <c r="C37" s="2"/>
      <c r="D37" s="2"/>
      <c r="E37" s="2"/>
      <c r="F37" s="5" t="s">
        <v>8</v>
      </c>
      <c r="G37" s="7">
        <f>G26+G27+G28+G29+G31++G33+G34</f>
        <v>12993.369999999999</v>
      </c>
      <c r="H37" s="2"/>
      <c r="I37" s="2"/>
      <c r="J37" s="2"/>
      <c r="K37" s="18">
        <f>B37+G37</f>
        <v>25103.39</v>
      </c>
    </row>
    <row r="38" spans="1:11" x14ac:dyDescent="0.25">
      <c r="C38" s="8" t="s">
        <v>23</v>
      </c>
      <c r="D38" s="12">
        <f>D1+B22-B37</f>
        <v>8784.5299999999988</v>
      </c>
      <c r="H38" s="8" t="s">
        <v>23</v>
      </c>
      <c r="I38" s="12">
        <f>I1+G22-G37</f>
        <v>5663.7900000000009</v>
      </c>
    </row>
    <row r="40" spans="1:11" x14ac:dyDescent="0.25">
      <c r="A40" s="5" t="s">
        <v>77</v>
      </c>
      <c r="B40" s="19" t="s">
        <v>87</v>
      </c>
      <c r="C40" s="19" t="s">
        <v>88</v>
      </c>
    </row>
    <row r="41" spans="1:11" ht="16.5" customHeight="1" x14ac:dyDescent="0.25">
      <c r="A41" s="5" t="s">
        <v>0</v>
      </c>
      <c r="B41" s="7">
        <f>B42+B43+B45+B46+B47+B44</f>
        <v>32713.870000000003</v>
      </c>
      <c r="C41" s="21">
        <v>1</v>
      </c>
    </row>
    <row r="42" spans="1:11" x14ac:dyDescent="0.25">
      <c r="A42" s="2" t="s">
        <v>78</v>
      </c>
      <c r="B42" s="6">
        <f>B21+G21</f>
        <v>12261.75</v>
      </c>
      <c r="C42" s="20">
        <f>B42/B41</f>
        <v>0.37481808174942305</v>
      </c>
    </row>
    <row r="43" spans="1:11" x14ac:dyDescent="0.25">
      <c r="A43" s="2" t="s">
        <v>79</v>
      </c>
      <c r="B43" s="6">
        <f>B4+G4</f>
        <v>9852.94</v>
      </c>
      <c r="C43" s="20">
        <f>B43/B41</f>
        <v>0.30118539934284755</v>
      </c>
    </row>
    <row r="44" spans="1:11" x14ac:dyDescent="0.25">
      <c r="A44" s="2" t="s">
        <v>163</v>
      </c>
      <c r="B44" s="6">
        <f>G18</f>
        <v>2500</v>
      </c>
      <c r="C44" s="20">
        <f>B44/B41</f>
        <v>7.6420185077461025E-2</v>
      </c>
    </row>
    <row r="45" spans="1:11" x14ac:dyDescent="0.25">
      <c r="A45" s="2" t="s">
        <v>169</v>
      </c>
      <c r="B45" s="13">
        <f>G20</f>
        <v>8099.18</v>
      </c>
      <c r="C45" s="20">
        <f>B45/B41</f>
        <v>0.24757633383026831</v>
      </c>
    </row>
    <row r="46" spans="1:11" x14ac:dyDescent="0.25">
      <c r="A46" s="2" t="s">
        <v>50</v>
      </c>
      <c r="B46" s="6"/>
      <c r="C46" s="20">
        <f>B46/B41</f>
        <v>0</v>
      </c>
    </row>
    <row r="47" spans="1:11" x14ac:dyDescent="0.25">
      <c r="A47" s="2" t="s">
        <v>80</v>
      </c>
      <c r="B47" s="6"/>
      <c r="C47" s="20">
        <f>B47/B41</f>
        <v>0</v>
      </c>
    </row>
    <row r="48" spans="1:11" x14ac:dyDescent="0.25">
      <c r="A48" s="5" t="s">
        <v>77</v>
      </c>
      <c r="B48" s="19" t="s">
        <v>87</v>
      </c>
      <c r="C48" s="19" t="s">
        <v>88</v>
      </c>
    </row>
    <row r="49" spans="1:3" x14ac:dyDescent="0.25">
      <c r="A49" s="5" t="s">
        <v>3</v>
      </c>
      <c r="B49" s="7">
        <f>B50+B51+B52+B54+B53</f>
        <v>25082.390000000003</v>
      </c>
      <c r="C49" s="21">
        <v>1</v>
      </c>
    </row>
    <row r="50" spans="1:3" ht="30" x14ac:dyDescent="0.25">
      <c r="A50" s="3" t="s">
        <v>170</v>
      </c>
      <c r="B50" s="6">
        <f>B34+B35+G34</f>
        <v>15847.77</v>
      </c>
      <c r="C50" s="20">
        <f>B50/B49</f>
        <v>0.63182854584431536</v>
      </c>
    </row>
    <row r="51" spans="1:3" ht="30" x14ac:dyDescent="0.25">
      <c r="A51" s="3" t="s">
        <v>85</v>
      </c>
      <c r="B51" s="6">
        <f>B28+B31+G26+G27+G28+G31+B27</f>
        <v>8503.5400000000009</v>
      </c>
      <c r="C51" s="20">
        <f>B51/B49</f>
        <v>0.33902431147908951</v>
      </c>
    </row>
    <row r="52" spans="1:3" x14ac:dyDescent="0.25">
      <c r="A52" s="2" t="s">
        <v>83</v>
      </c>
      <c r="B52" s="6">
        <v>0</v>
      </c>
      <c r="C52" s="20">
        <f>B52/B49</f>
        <v>0</v>
      </c>
    </row>
    <row r="53" spans="1:3" x14ac:dyDescent="0.25">
      <c r="A53" s="2" t="s">
        <v>86</v>
      </c>
      <c r="B53" s="6">
        <f>B30</f>
        <v>284</v>
      </c>
      <c r="C53" s="20">
        <f>B53/B49</f>
        <v>1.1322684959447642E-2</v>
      </c>
    </row>
    <row r="54" spans="1:3" x14ac:dyDescent="0.25">
      <c r="A54" s="2" t="s">
        <v>84</v>
      </c>
      <c r="B54" s="6">
        <f>B32+B36+G29+G33+B26+B29</f>
        <v>447.08</v>
      </c>
      <c r="C54" s="20">
        <f>B54/B49</f>
        <v>1.7824457717147368E-2</v>
      </c>
    </row>
  </sheetData>
  <mergeCells count="3">
    <mergeCell ref="A2:B2"/>
    <mergeCell ref="F2:G2"/>
    <mergeCell ref="A24:B24"/>
  </mergeCells>
  <pageMargins left="0.7" right="0.7" top="0.75" bottom="0.75" header="0.3" footer="0.3"/>
  <pageSetup paperSize="9" scale="5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4" sqref="B4:C4"/>
    </sheetView>
  </sheetViews>
  <sheetFormatPr defaultRowHeight="15" x14ac:dyDescent="0.25"/>
  <cols>
    <col min="1" max="1" width="11.42578125" customWidth="1"/>
    <col min="2" max="2" width="10.140625" bestFit="1" customWidth="1"/>
  </cols>
  <sheetData>
    <row r="1" spans="1:3" x14ac:dyDescent="0.25">
      <c r="A1" t="s">
        <v>6</v>
      </c>
      <c r="B1" s="1">
        <v>43568</v>
      </c>
      <c r="C1">
        <v>195</v>
      </c>
    </row>
    <row r="2" spans="1:3" x14ac:dyDescent="0.25">
      <c r="A2" t="s">
        <v>7</v>
      </c>
      <c r="B2" s="1">
        <v>42884</v>
      </c>
      <c r="C2">
        <v>225</v>
      </c>
    </row>
    <row r="3" spans="1:3" x14ac:dyDescent="0.25">
      <c r="A3" t="s">
        <v>49</v>
      </c>
      <c r="B3" s="1">
        <v>42810</v>
      </c>
      <c r="C3">
        <v>180</v>
      </c>
    </row>
    <row r="4" spans="1:3" x14ac:dyDescent="0.25">
      <c r="B4" s="1"/>
    </row>
    <row r="5" spans="1:3" x14ac:dyDescent="0.25">
      <c r="B5" s="1"/>
    </row>
    <row r="6" spans="1:3" x14ac:dyDescent="0.25">
      <c r="B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диаграммы</vt:lpstr>
      <vt:lpstr>2017</vt:lpstr>
      <vt:lpstr>2018</vt:lpstr>
      <vt:lpstr>2019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2019-11-22T21:02:26Z</dcterms:modified>
</cp:coreProperties>
</file>